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trlProps/ctrlProp7.xml" ContentType="application/vnd.ms-excel.controlpropertie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 codeName="{4D1C537B-E38A-612A-F078-A93A15B4B7F4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Puls\Uppdrags Team (UT)\UT_21_Pågår Uppdrag\KF Calculator\210810 CopyPasteFixen (För hemsidan)\"/>
    </mc:Choice>
  </mc:AlternateContent>
  <xr:revisionPtr revIDLastSave="0" documentId="13_ncr:1_{4553D3E6-F99C-4CF6-96B1-1B8FEF7C849B}" xr6:coauthVersionLast="46" xr6:coauthVersionMax="46" xr10:uidLastSave="{00000000-0000-0000-0000-000000000000}"/>
  <workbookProtection workbookAlgorithmName="SHA-512" workbookHashValue="X3IWdK90rRQwi74nMMlcUonOcCLymYeICTb8HHFd7uAeMZBgF8CMLWhWs+niUBJN5ovPKQi/ApxmpnNkTEXUxg==" workbookSaltValue="k1rK4wi1zubUfO0Z3+iXHQ==" workbookSpinCount="100000" lockStructure="1"/>
  <bookViews>
    <workbookView showSheetTabs="0" xWindow="1830" yWindow="1200" windowWidth="30285" windowHeight="19155" tabRatio="923" xr2:uid="{00000000-000D-0000-FFFF-FFFF00000000}"/>
  </bookViews>
  <sheets>
    <sheet name="Calculator" sheetId="1" r:id="rId1"/>
    <sheet name="Produkter" sheetId="2" state="hidden" r:id="rId2"/>
    <sheet name="Length_Adjustment" sheetId="4" state="hidden" r:id="rId3"/>
    <sheet name="Heat_Factor" sheetId="5" state="hidden" r:id="rId4"/>
    <sheet name="Fjäderkurva" sheetId="7" state="hidden" r:id="rId5"/>
    <sheet name="Excenterpress" sheetId="8" state="hidden" r:id="rId6"/>
    <sheet name="Spring_Back" sheetId="13" state="hidden" r:id="rId7"/>
    <sheet name="För_Helpdesk" sheetId="14" state="hidden" r:id="rId8"/>
    <sheet name="Blad1" sheetId="15" state="hidden" r:id="rId9"/>
  </sheets>
  <functionGroups builtInGroupCount="19"/>
  <definedNames>
    <definedName name="Adjustment">Length_Adjustment!$A$4:$E$19</definedName>
    <definedName name="Cooler">Heat_Factor!$S$48</definedName>
    <definedName name="Cooler_Message">Heat_Factor!$E$38</definedName>
    <definedName name="Cooler_OrderNo">Heat_Factor!$F$38</definedName>
    <definedName name="Cooler_Quantity">Heat_Factor!$G$38</definedName>
    <definedName name="Cooler_Selection">Heat_Factor!$E$39</definedName>
    <definedName name="Cooling_Alt_Rows">Calculator!$Q$51</definedName>
    <definedName name="Cooling_Ant">Calculator!$P$51</definedName>
    <definedName name="CoolingMatrix">Heat_Factor!$K$16:$P$18</definedName>
    <definedName name="crank_radius">Excenterpress!$B$5</definedName>
    <definedName name="Cykeltid">Calculator!$V$75</definedName>
    <definedName name="Description">Calculator!$P$25</definedName>
    <definedName name="Dks">Spring_Back!$C$13</definedName>
    <definedName name="Dksi">Spring_Back!$D$13</definedName>
    <definedName name="Dt">Spring_Back!$B$13</definedName>
    <definedName name="Excenter_Stroke">För_Helpdesk!$S$29</definedName>
    <definedName name="Ext_Cooling_Need">Calculator!$V$53</definedName>
    <definedName name="Ext_Cooling_per_spring">Calculator!$V$54</definedName>
    <definedName name="Fi">Calculator!$L$25</definedName>
    <definedName name="Force_Size">Calculator!$C$25</definedName>
    <definedName name="Fs">Calculator!$M$25</definedName>
    <definedName name="Heat_Data">Heat_Factor!$L$39:$P$45</definedName>
    <definedName name="Heat_Factor">Heat_Factor!$M$12</definedName>
    <definedName name="Heat_Factor_Matrix">Heat_Factor!$I$4:$L$7</definedName>
    <definedName name="Index_List_Box_21">Calculator!$O$61</definedName>
    <definedName name="Index_ListBox1">Calculator!$D$6</definedName>
    <definedName name="L_Min">Calculator!$K$25</definedName>
    <definedName name="Liquid_Cooler_10kW_Capacity">Heat_Factor!$E$48</definedName>
    <definedName name="Liquid_Cooler_25kW_Capacity">Heat_Factor!$E$49</definedName>
    <definedName name="Locked_Spring">Calculator!$N$43</definedName>
    <definedName name="LockValue">Calculator!$P$16</definedName>
    <definedName name="Max_Press_Speed">Excenterpress!$B$20</definedName>
    <definedName name="Max_Volume" localSheetId="6">#REF!</definedName>
    <definedName name="Max_Volume">#REF!</definedName>
    <definedName name="MaxGasPressure">Calculator!$H$25</definedName>
    <definedName name="MaxStrokeLength">Calculator!$J$25</definedName>
    <definedName name="MinGasPressure">Calculator!$G$25</definedName>
    <definedName name="MinStrokelength">Calculator!$I$25</definedName>
    <definedName name="ModelSize">Calculator!$B$25</definedName>
    <definedName name="NewStroke">Calculator!$M$32</definedName>
    <definedName name="Nitro_Cooler_Capacity">Heat_Factor!$E$47</definedName>
    <definedName name="NrOfCoolAlt">Heat_Factor!$K$19</definedName>
    <definedName name="Period_time">Excenterpress!$B$8</definedName>
    <definedName name="Piston_Rod_Area" localSheetId="6">Spring_Back!$C$21</definedName>
    <definedName name="Piston_Rod_Area">#REF!</definedName>
    <definedName name="Piston_Rod_Diameter">Calculator!$F$25</definedName>
    <definedName name="PistonArea">Calculator!$O$25</definedName>
    <definedName name="Press_Speed" localSheetId="6">Calculator!#REF!</definedName>
    <definedName name="Press_Speed">Calculator!#REF!</definedName>
    <definedName name="Press_velocity_at_impact">Excenterpress!$B$18</definedName>
    <definedName name="Return_Speed">Calculator!$Q$67</definedName>
    <definedName name="Returtid">Calculator!$V$76</definedName>
    <definedName name="Ring_Area" localSheetId="6">Spring_Back!$C$22</definedName>
    <definedName name="Ring_Area">#REF!</definedName>
    <definedName name="Ring_Force" localSheetId="6">Spring_Back!#REF!</definedName>
    <definedName name="Ring_Force">#REF!</definedName>
    <definedName name="rod_length">För_Helpdesk!$S$30</definedName>
    <definedName name="Seconds_per_stroke">Heat_Factor!$E$15</definedName>
    <definedName name="Slutval">Calculator!$B$12</definedName>
    <definedName name="Spacer_List">Length_Adjustment!$I$3:$J$6</definedName>
    <definedName name="Spring_Back" localSheetId="6">Spring_Back!$D$41</definedName>
    <definedName name="Spring_Back">#REF!</definedName>
    <definedName name="Stroke">Calculator!$D$25</definedName>
    <definedName name="Stroke_adjustment">Calculator!$K$59</definedName>
    <definedName name="Temperature_Reducing_Factor">Heat_Factor!$N$37</definedName>
    <definedName name="Total_Power">Heat_Factor!$M$13</definedName>
    <definedName name="Total_Work_20">Fjäderkurva!$AJ$23</definedName>
    <definedName name="Total_Work_80">Fjäderkurva!$AK$23</definedName>
    <definedName name="Used_Stroke_List">OFFSET(Used_Stroke_Ref,0,0,Calculator!$J$52,1)</definedName>
    <definedName name="Used_Stroke_Ref">Calculator!$I$51</definedName>
    <definedName name="UsedStroke">Calculator!$AI$20</definedName>
    <definedName name="User_Charge_Pressure">Calculator!$W$21</definedName>
    <definedName name="User_Number_of_Springs">Calculator!$M$49</definedName>
    <definedName name="User_Strokes_per_Minute">Calculator!$W$42</definedName>
    <definedName name="User_Surrounding_Temperature">Calculator!$W$43</definedName>
    <definedName name="User_Used_Stroke_Length">Calculator!$K$58</definedName>
    <definedName name="_xlnm.Print_Area" localSheetId="0">Calculator!$T$9:$AG$84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2" i="2" l="1"/>
  <c r="K533" i="2"/>
  <c r="J532" i="2"/>
  <c r="J533" i="2"/>
  <c r="I532" i="2"/>
  <c r="I533" i="2"/>
  <c r="E532" i="2"/>
  <c r="E533" i="2"/>
  <c r="K377" i="2"/>
  <c r="K378" i="2"/>
  <c r="K379" i="2"/>
  <c r="K380" i="2"/>
  <c r="J377" i="2"/>
  <c r="J378" i="2"/>
  <c r="J379" i="2"/>
  <c r="J380" i="2"/>
  <c r="I377" i="2"/>
  <c r="I378" i="2"/>
  <c r="I379" i="2"/>
  <c r="I380" i="2"/>
  <c r="E377" i="2"/>
  <c r="E378" i="2"/>
  <c r="E379" i="2"/>
  <c r="E380" i="2"/>
  <c r="K66" i="2"/>
  <c r="K67" i="2"/>
  <c r="K68" i="2"/>
  <c r="K69" i="2"/>
  <c r="K70" i="2"/>
  <c r="J66" i="2"/>
  <c r="J67" i="2"/>
  <c r="J68" i="2"/>
  <c r="J69" i="2"/>
  <c r="J70" i="2"/>
  <c r="I66" i="2"/>
  <c r="I67" i="2"/>
  <c r="I68" i="2"/>
  <c r="I69" i="2"/>
  <c r="I70" i="2"/>
  <c r="K222" i="2"/>
  <c r="K223" i="2"/>
  <c r="K224" i="2"/>
  <c r="K225" i="2"/>
  <c r="J222" i="2"/>
  <c r="J223" i="2"/>
  <c r="J224" i="2"/>
  <c r="J225" i="2"/>
  <c r="I222" i="2"/>
  <c r="I223" i="2"/>
  <c r="I224" i="2"/>
  <c r="I225" i="2"/>
  <c r="Z48" i="1" l="1"/>
  <c r="N37" i="5" l="1"/>
  <c r="E48" i="5" l="1"/>
  <c r="AB49" i="1" s="1"/>
  <c r="E47" i="5"/>
  <c r="AB51" i="1" s="1"/>
  <c r="E49" i="5"/>
  <c r="AB50" i="1" s="1"/>
  <c r="G6" i="5"/>
  <c r="F6" i="5"/>
  <c r="G5" i="5"/>
  <c r="F5" i="5"/>
  <c r="G4" i="5"/>
  <c r="F4" i="5"/>
  <c r="G7" i="5"/>
  <c r="F7" i="5"/>
  <c r="X83" i="1"/>
  <c r="K72" i="1"/>
  <c r="U83" i="1" l="1"/>
  <c r="I51" i="1" l="1"/>
  <c r="I52" i="1" s="1"/>
  <c r="I53" i="1" s="1"/>
  <c r="I54" i="1" s="1"/>
  <c r="I55" i="1" s="1"/>
  <c r="I56" i="1" s="1"/>
  <c r="I57" i="1" s="1"/>
  <c r="I58" i="1" s="1"/>
  <c r="I59" i="1" s="1"/>
  <c r="K65" i="1"/>
  <c r="I60" i="1" l="1"/>
  <c r="I61" i="1" s="1"/>
  <c r="I62" i="1" s="1"/>
  <c r="I63" i="1" s="1"/>
  <c r="I64" i="1" s="1"/>
  <c r="I65" i="1" s="1"/>
  <c r="J51" i="1"/>
  <c r="C3" i="13" l="1"/>
  <c r="A13" i="13" l="1"/>
  <c r="B13" i="13" l="1"/>
  <c r="D13" i="13"/>
  <c r="C13" i="13"/>
  <c r="G20" i="13" l="1"/>
  <c r="G19" i="13"/>
  <c r="E15" i="5"/>
  <c r="I5" i="5"/>
  <c r="I6" i="5"/>
  <c r="I7" i="5"/>
  <c r="I4" i="5"/>
  <c r="E12" i="5"/>
  <c r="K4" i="5" s="1"/>
  <c r="G21" i="13" l="1"/>
  <c r="L7" i="5"/>
  <c r="L5" i="5"/>
  <c r="K7" i="5"/>
  <c r="K5" i="5"/>
  <c r="L6" i="5"/>
  <c r="L4" i="5"/>
  <c r="K6" i="5"/>
  <c r="M18" i="5" l="1"/>
  <c r="M45" i="5" s="1"/>
  <c r="M17" i="5"/>
  <c r="M44" i="5" s="1"/>
  <c r="B6" i="8" l="1"/>
  <c r="B4" i="8"/>
  <c r="I5" i="8"/>
  <c r="I6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B5" i="8"/>
  <c r="J6" i="8" s="1"/>
  <c r="J81" i="8" l="1"/>
  <c r="J76" i="8"/>
  <c r="J71" i="8"/>
  <c r="J65" i="8"/>
  <c r="J60" i="8"/>
  <c r="J55" i="8"/>
  <c r="J49" i="8"/>
  <c r="J44" i="8"/>
  <c r="J39" i="8"/>
  <c r="J33" i="8"/>
  <c r="J28" i="8"/>
  <c r="J23" i="8"/>
  <c r="J17" i="8"/>
  <c r="J9" i="8"/>
  <c r="J80" i="8"/>
  <c r="J75" i="8"/>
  <c r="J69" i="8"/>
  <c r="J64" i="8"/>
  <c r="J59" i="8"/>
  <c r="J53" i="8"/>
  <c r="J48" i="8"/>
  <c r="J43" i="8"/>
  <c r="J37" i="8"/>
  <c r="J32" i="8"/>
  <c r="J27" i="8"/>
  <c r="J21" i="8"/>
  <c r="J15" i="8"/>
  <c r="J7" i="8"/>
  <c r="J84" i="8"/>
  <c r="J79" i="8"/>
  <c r="J73" i="8"/>
  <c r="J68" i="8"/>
  <c r="J63" i="8"/>
  <c r="J57" i="8"/>
  <c r="J52" i="8"/>
  <c r="J47" i="8"/>
  <c r="J41" i="8"/>
  <c r="J36" i="8"/>
  <c r="J31" i="8"/>
  <c r="J25" i="8"/>
  <c r="J20" i="8"/>
  <c r="J13" i="8"/>
  <c r="J5" i="8"/>
  <c r="J83" i="8"/>
  <c r="J77" i="8"/>
  <c r="J72" i="8"/>
  <c r="J67" i="8"/>
  <c r="J61" i="8"/>
  <c r="J56" i="8"/>
  <c r="J51" i="8"/>
  <c r="J45" i="8"/>
  <c r="J40" i="8"/>
  <c r="J35" i="8"/>
  <c r="J29" i="8"/>
  <c r="J24" i="8"/>
  <c r="J19" i="8"/>
  <c r="J11" i="8"/>
  <c r="J16" i="8"/>
  <c r="J12" i="8"/>
  <c r="J8" i="8"/>
  <c r="J82" i="8"/>
  <c r="J78" i="8"/>
  <c r="J74" i="8"/>
  <c r="J70" i="8"/>
  <c r="J66" i="8"/>
  <c r="J62" i="8"/>
  <c r="J58" i="8"/>
  <c r="J54" i="8"/>
  <c r="J50" i="8"/>
  <c r="J46" i="8"/>
  <c r="J42" i="8"/>
  <c r="J38" i="8"/>
  <c r="J34" i="8"/>
  <c r="J30" i="8"/>
  <c r="J26" i="8"/>
  <c r="J22" i="8"/>
  <c r="J18" i="8"/>
  <c r="J14" i="8"/>
  <c r="J10" i="8"/>
  <c r="J4" i="8"/>
  <c r="B8" i="8"/>
  <c r="G84" i="8" s="1"/>
  <c r="L84" i="8" s="1"/>
  <c r="I4" i="8"/>
  <c r="G45" i="8" l="1"/>
  <c r="L45" i="8" s="1"/>
  <c r="G49" i="8"/>
  <c r="L49" i="8" s="1"/>
  <c r="G53" i="8"/>
  <c r="L53" i="8" s="1"/>
  <c r="G57" i="8"/>
  <c r="L57" i="8" s="1"/>
  <c r="G61" i="8"/>
  <c r="L61" i="8" s="1"/>
  <c r="G65" i="8"/>
  <c r="L65" i="8" s="1"/>
  <c r="G69" i="8"/>
  <c r="L69" i="8" s="1"/>
  <c r="G73" i="8"/>
  <c r="L73" i="8" s="1"/>
  <c r="G77" i="8"/>
  <c r="L77" i="8" s="1"/>
  <c r="G81" i="8"/>
  <c r="L81" i="8" s="1"/>
  <c r="G52" i="8"/>
  <c r="L52" i="8" s="1"/>
  <c r="G79" i="8"/>
  <c r="L79" i="8" s="1"/>
  <c r="G59" i="8"/>
  <c r="L59" i="8" s="1"/>
  <c r="G70" i="8"/>
  <c r="L70" i="8" s="1"/>
  <c r="G80" i="8"/>
  <c r="L80" i="8" s="1"/>
  <c r="G44" i="8"/>
  <c r="L44" i="8" s="1"/>
  <c r="G50" i="8"/>
  <c r="L50" i="8" s="1"/>
  <c r="G55" i="8"/>
  <c r="L55" i="8" s="1"/>
  <c r="G60" i="8"/>
  <c r="L60" i="8" s="1"/>
  <c r="G66" i="8"/>
  <c r="L66" i="8" s="1"/>
  <c r="G71" i="8"/>
  <c r="L71" i="8" s="1"/>
  <c r="G76" i="8"/>
  <c r="L76" i="8" s="1"/>
  <c r="G82" i="8"/>
  <c r="L82" i="8" s="1"/>
  <c r="G46" i="8"/>
  <c r="L46" i="8" s="1"/>
  <c r="G51" i="8"/>
  <c r="L51" i="8" s="1"/>
  <c r="G56" i="8"/>
  <c r="L56" i="8" s="1"/>
  <c r="G62" i="8"/>
  <c r="L62" i="8" s="1"/>
  <c r="G67" i="8"/>
  <c r="L67" i="8" s="1"/>
  <c r="G72" i="8"/>
  <c r="L72" i="8" s="1"/>
  <c r="G78" i="8"/>
  <c r="L78" i="8" s="1"/>
  <c r="G83" i="8"/>
  <c r="L83" i="8" s="1"/>
  <c r="G47" i="8"/>
  <c r="L47" i="8" s="1"/>
  <c r="G58" i="8"/>
  <c r="L58" i="8" s="1"/>
  <c r="G63" i="8"/>
  <c r="L63" i="8" s="1"/>
  <c r="G68" i="8"/>
  <c r="L68" i="8" s="1"/>
  <c r="G74" i="8"/>
  <c r="L74" i="8" s="1"/>
  <c r="G48" i="8"/>
  <c r="L48" i="8" s="1"/>
  <c r="G54" i="8"/>
  <c r="L54" i="8" s="1"/>
  <c r="G64" i="8"/>
  <c r="L64" i="8" s="1"/>
  <c r="G75" i="8"/>
  <c r="L75" i="8" s="1"/>
  <c r="G39" i="8"/>
  <c r="L39" i="8" s="1"/>
  <c r="G8" i="8"/>
  <c r="L8" i="8" s="1"/>
  <c r="G12" i="8"/>
  <c r="L12" i="8" s="1"/>
  <c r="G16" i="8"/>
  <c r="L16" i="8" s="1"/>
  <c r="G20" i="8"/>
  <c r="L20" i="8" s="1"/>
  <c r="G24" i="8"/>
  <c r="L24" i="8" s="1"/>
  <c r="G28" i="8"/>
  <c r="L28" i="8" s="1"/>
  <c r="G32" i="8"/>
  <c r="L32" i="8" s="1"/>
  <c r="G36" i="8"/>
  <c r="L36" i="8" s="1"/>
  <c r="G40" i="8"/>
  <c r="L40" i="8" s="1"/>
  <c r="G4" i="8"/>
  <c r="L4" i="8" s="1"/>
  <c r="G5" i="8"/>
  <c r="L5" i="8" s="1"/>
  <c r="G9" i="8"/>
  <c r="L9" i="8" s="1"/>
  <c r="G13" i="8"/>
  <c r="L13" i="8" s="1"/>
  <c r="G17" i="8"/>
  <c r="L17" i="8" s="1"/>
  <c r="G21" i="8"/>
  <c r="L21" i="8" s="1"/>
  <c r="G25" i="8"/>
  <c r="L25" i="8" s="1"/>
  <c r="G29" i="8"/>
  <c r="L29" i="8" s="1"/>
  <c r="G33" i="8"/>
  <c r="L33" i="8" s="1"/>
  <c r="G37" i="8"/>
  <c r="L37" i="8" s="1"/>
  <c r="G41" i="8"/>
  <c r="L41" i="8" s="1"/>
  <c r="G6" i="8"/>
  <c r="L6" i="8" s="1"/>
  <c r="G10" i="8"/>
  <c r="L10" i="8" s="1"/>
  <c r="G14" i="8"/>
  <c r="L14" i="8" s="1"/>
  <c r="G18" i="8"/>
  <c r="L18" i="8" s="1"/>
  <c r="G22" i="8"/>
  <c r="L22" i="8" s="1"/>
  <c r="G26" i="8"/>
  <c r="L26" i="8" s="1"/>
  <c r="G30" i="8"/>
  <c r="L30" i="8" s="1"/>
  <c r="G34" i="8"/>
  <c r="L34" i="8" s="1"/>
  <c r="G38" i="8"/>
  <c r="L38" i="8" s="1"/>
  <c r="G42" i="8"/>
  <c r="L42" i="8" s="1"/>
  <c r="G7" i="8"/>
  <c r="L7" i="8" s="1"/>
  <c r="G11" i="8"/>
  <c r="L11" i="8" s="1"/>
  <c r="G15" i="8"/>
  <c r="L15" i="8" s="1"/>
  <c r="G19" i="8"/>
  <c r="L19" i="8" s="1"/>
  <c r="G23" i="8"/>
  <c r="L23" i="8" s="1"/>
  <c r="G27" i="8"/>
  <c r="L27" i="8" s="1"/>
  <c r="G31" i="8"/>
  <c r="L31" i="8" s="1"/>
  <c r="G35" i="8"/>
  <c r="L35" i="8" s="1"/>
  <c r="G43" i="8"/>
  <c r="L43" i="8" s="1"/>
  <c r="B11" i="8"/>
  <c r="V75" i="1"/>
  <c r="K6" i="8" l="1"/>
  <c r="K10" i="8"/>
  <c r="K14" i="8"/>
  <c r="K18" i="8"/>
  <c r="K22" i="8"/>
  <c r="K26" i="8"/>
  <c r="K30" i="8"/>
  <c r="K34" i="8"/>
  <c r="K38" i="8"/>
  <c r="K42" i="8"/>
  <c r="K46" i="8"/>
  <c r="K50" i="8"/>
  <c r="K54" i="8"/>
  <c r="K58" i="8"/>
  <c r="K62" i="8"/>
  <c r="K66" i="8"/>
  <c r="K70" i="8"/>
  <c r="K74" i="8"/>
  <c r="K78" i="8"/>
  <c r="K82" i="8"/>
  <c r="K7" i="8"/>
  <c r="K11" i="8"/>
  <c r="K15" i="8"/>
  <c r="K19" i="8"/>
  <c r="K23" i="8"/>
  <c r="K27" i="8"/>
  <c r="K35" i="8"/>
  <c r="K43" i="8"/>
  <c r="K47" i="8"/>
  <c r="K55" i="8"/>
  <c r="K63" i="8"/>
  <c r="K71" i="8"/>
  <c r="K75" i="8"/>
  <c r="K8" i="8"/>
  <c r="K12" i="8"/>
  <c r="K16" i="8"/>
  <c r="K20" i="8"/>
  <c r="K24" i="8"/>
  <c r="K28" i="8"/>
  <c r="K32" i="8"/>
  <c r="K36" i="8"/>
  <c r="K40" i="8"/>
  <c r="K44" i="8"/>
  <c r="K48" i="8"/>
  <c r="K52" i="8"/>
  <c r="K56" i="8"/>
  <c r="K60" i="8"/>
  <c r="K64" i="8"/>
  <c r="K68" i="8"/>
  <c r="K72" i="8"/>
  <c r="K76" i="8"/>
  <c r="K80" i="8"/>
  <c r="K84" i="8"/>
  <c r="K5" i="8"/>
  <c r="K9" i="8"/>
  <c r="K13" i="8"/>
  <c r="K17" i="8"/>
  <c r="K21" i="8"/>
  <c r="K25" i="8"/>
  <c r="K29" i="8"/>
  <c r="K33" i="8"/>
  <c r="K37" i="8"/>
  <c r="K41" i="8"/>
  <c r="K45" i="8"/>
  <c r="K49" i="8"/>
  <c r="K53" i="8"/>
  <c r="K57" i="8"/>
  <c r="K61" i="8"/>
  <c r="K65" i="8"/>
  <c r="K69" i="8"/>
  <c r="K73" i="8"/>
  <c r="K77" i="8"/>
  <c r="K81" i="8"/>
  <c r="K31" i="8"/>
  <c r="K39" i="8"/>
  <c r="K51" i="8"/>
  <c r="K59" i="8"/>
  <c r="K67" i="8"/>
  <c r="K79" i="8"/>
  <c r="K83" i="8"/>
  <c r="K4" i="8"/>
  <c r="Q40" i="8" l="1"/>
  <c r="R40" i="8" s="1"/>
  <c r="Q26" i="8"/>
  <c r="R26" i="8" s="1"/>
  <c r="Q10" i="8"/>
  <c r="R10" i="8" s="1"/>
  <c r="Q42" i="8"/>
  <c r="R42" i="8" s="1"/>
  <c r="Q13" i="8"/>
  <c r="R13" i="8" s="1"/>
  <c r="Q77" i="8"/>
  <c r="R77" i="8" s="1"/>
  <c r="Q61" i="8"/>
  <c r="R61" i="8" s="1"/>
  <c r="Q45" i="8"/>
  <c r="R45" i="8" s="1"/>
  <c r="Q29" i="8"/>
  <c r="R29" i="8" s="1"/>
  <c r="Q31" i="8"/>
  <c r="R31" i="8" s="1"/>
  <c r="Q82" i="8"/>
  <c r="R82" i="8" s="1"/>
  <c r="Q50" i="8"/>
  <c r="R50" i="8" s="1"/>
  <c r="Q18" i="8"/>
  <c r="R18" i="8" s="1"/>
  <c r="Q69" i="8"/>
  <c r="R69" i="8" s="1"/>
  <c r="Q53" i="8"/>
  <c r="R53" i="8" s="1"/>
  <c r="Q37" i="8"/>
  <c r="R37" i="8" s="1"/>
  <c r="Q71" i="8"/>
  <c r="R71" i="8" s="1"/>
  <c r="Q55" i="8"/>
  <c r="R55" i="8" s="1"/>
  <c r="Q5" i="8"/>
  <c r="R5" i="8" s="1"/>
  <c r="Q66" i="8"/>
  <c r="R66" i="8" s="1"/>
  <c r="Q21" i="8"/>
  <c r="R21" i="8" s="1"/>
  <c r="Q76" i="8"/>
  <c r="R76" i="8" s="1"/>
  <c r="Q24" i="8"/>
  <c r="R24" i="8" s="1"/>
  <c r="Q8" i="8"/>
  <c r="R8" i="8" s="1"/>
  <c r="Q39" i="8"/>
  <c r="R39" i="8" s="1"/>
  <c r="Q60" i="8"/>
  <c r="R60" i="8" s="1"/>
  <c r="Q34" i="8"/>
  <c r="R34" i="8" s="1"/>
  <c r="Q48" i="8"/>
  <c r="R48" i="8" s="1"/>
  <c r="Q23" i="8"/>
  <c r="R23" i="8" s="1"/>
  <c r="Q80" i="8"/>
  <c r="R80" i="8" s="1"/>
  <c r="Q74" i="8"/>
  <c r="R74" i="8" s="1"/>
  <c r="Q58" i="8"/>
  <c r="R58" i="8" s="1"/>
  <c r="Q64" i="8"/>
  <c r="R64" i="8" s="1"/>
  <c r="Q36" i="8"/>
  <c r="R36" i="8" s="1"/>
  <c r="Q16" i="8"/>
  <c r="R16" i="8" s="1"/>
  <c r="Q79" i="8"/>
  <c r="R79" i="8" s="1"/>
  <c r="Q63" i="8"/>
  <c r="R63" i="8" s="1"/>
  <c r="Q47" i="8"/>
  <c r="R47" i="8" s="1"/>
  <c r="Q15" i="8"/>
  <c r="R15" i="8" s="1"/>
  <c r="Q68" i="8"/>
  <c r="R68" i="8" s="1"/>
  <c r="Q32" i="8"/>
  <c r="R32" i="8" s="1"/>
  <c r="Q70" i="8"/>
  <c r="R70" i="8" s="1"/>
  <c r="Q54" i="8"/>
  <c r="R54" i="8" s="1"/>
  <c r="Q38" i="8"/>
  <c r="R38" i="8" s="1"/>
  <c r="Q22" i="8"/>
  <c r="R22" i="8" s="1"/>
  <c r="Q6" i="8"/>
  <c r="R6" i="8" s="1"/>
  <c r="Q73" i="8"/>
  <c r="R73" i="8" s="1"/>
  <c r="Q57" i="8"/>
  <c r="R57" i="8" s="1"/>
  <c r="Q41" i="8"/>
  <c r="R41" i="8" s="1"/>
  <c r="Q25" i="8"/>
  <c r="R25" i="8" s="1"/>
  <c r="Q9" i="8"/>
  <c r="R9" i="8" s="1"/>
  <c r="Q56" i="8"/>
  <c r="R56" i="8" s="1"/>
  <c r="Q28" i="8"/>
  <c r="R28" i="8" s="1"/>
  <c r="Q12" i="8"/>
  <c r="R12" i="8" s="1"/>
  <c r="Q75" i="8"/>
  <c r="R75" i="8" s="1"/>
  <c r="Q59" i="8"/>
  <c r="R59" i="8" s="1"/>
  <c r="Q43" i="8"/>
  <c r="R43" i="8" s="1"/>
  <c r="Q27" i="8"/>
  <c r="R27" i="8" s="1"/>
  <c r="Q11" i="8"/>
  <c r="R11" i="8" s="1"/>
  <c r="Q7" i="8"/>
  <c r="R7" i="8" s="1"/>
  <c r="Q84" i="8"/>
  <c r="R84" i="8" s="1"/>
  <c r="Q52" i="8"/>
  <c r="R52" i="8" s="1"/>
  <c r="Q78" i="8"/>
  <c r="R78" i="8" s="1"/>
  <c r="Q62" i="8"/>
  <c r="R62" i="8" s="1"/>
  <c r="Q46" i="8"/>
  <c r="R46" i="8" s="1"/>
  <c r="Q30" i="8"/>
  <c r="R30" i="8" s="1"/>
  <c r="Q14" i="8"/>
  <c r="R14" i="8" s="1"/>
  <c r="Q81" i="8"/>
  <c r="R81" i="8" s="1"/>
  <c r="Q65" i="8"/>
  <c r="R65" i="8" s="1"/>
  <c r="Q49" i="8"/>
  <c r="R49" i="8" s="1"/>
  <c r="Q33" i="8"/>
  <c r="R33" i="8" s="1"/>
  <c r="Q17" i="8"/>
  <c r="R17" i="8" s="1"/>
  <c r="Q72" i="8"/>
  <c r="R72" i="8" s="1"/>
  <c r="Q44" i="8"/>
  <c r="R44" i="8" s="1"/>
  <c r="Q20" i="8"/>
  <c r="R20" i="8" s="1"/>
  <c r="Q83" i="8"/>
  <c r="R83" i="8" s="1"/>
  <c r="Q67" i="8"/>
  <c r="R67" i="8" s="1"/>
  <c r="Q51" i="8"/>
  <c r="R51" i="8" s="1"/>
  <c r="Q35" i="8"/>
  <c r="R35" i="8" s="1"/>
  <c r="Q19" i="8"/>
  <c r="R19" i="8" s="1"/>
  <c r="B20" i="8" l="1"/>
  <c r="S33" i="14" s="1"/>
  <c r="C67" i="7"/>
  <c r="D18" i="7" l="1"/>
  <c r="D19" i="7" s="1"/>
  <c r="D15" i="7"/>
  <c r="D10" i="7"/>
  <c r="D9" i="7"/>
  <c r="E45" i="7"/>
  <c r="AA14" i="7"/>
  <c r="AA17" i="7" s="1"/>
  <c r="D24" i="7" l="1"/>
  <c r="D44" i="7"/>
  <c r="D45" i="7" s="1"/>
  <c r="E46" i="7"/>
  <c r="I66" i="1"/>
  <c r="I67" i="1" s="1"/>
  <c r="I68" i="1" s="1"/>
  <c r="J52" i="1" l="1"/>
  <c r="K55" i="1" l="1"/>
  <c r="K56" i="1" s="1"/>
  <c r="K58" i="1" s="1"/>
  <c r="E7" i="5" s="1"/>
  <c r="J7" i="5" s="1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534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381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226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71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534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381" i="2"/>
  <c r="W18" i="1"/>
  <c r="W19" i="1"/>
  <c r="W16" i="1"/>
  <c r="W17" i="1"/>
  <c r="H11" i="13"/>
  <c r="G9" i="13"/>
  <c r="E10" i="13"/>
  <c r="H10" i="13"/>
  <c r="E9" i="13"/>
  <c r="H9" i="13"/>
  <c r="G10" i="13"/>
  <c r="E11" i="13"/>
  <c r="H8" i="13"/>
  <c r="G8" i="13"/>
  <c r="E8" i="13"/>
  <c r="G11" i="13"/>
  <c r="E5" i="5" l="1"/>
  <c r="J5" i="5" s="1"/>
  <c r="E6" i="5"/>
  <c r="J6" i="5" s="1"/>
  <c r="M12" i="5"/>
  <c r="E4" i="5"/>
  <c r="J4" i="5" s="1"/>
  <c r="K69" i="1"/>
  <c r="K70" i="1" s="1"/>
  <c r="K71" i="1" s="1"/>
  <c r="K59" i="1"/>
  <c r="J6" i="4" s="1"/>
  <c r="H13" i="13"/>
  <c r="U1" i="13" s="1"/>
  <c r="E13" i="13"/>
  <c r="G13" i="13"/>
  <c r="S73" i="13"/>
  <c r="S65" i="13"/>
  <c r="S57" i="13"/>
  <c r="S49" i="13"/>
  <c r="S72" i="13"/>
  <c r="S64" i="13"/>
  <c r="S56" i="13"/>
  <c r="S48" i="13"/>
  <c r="S15" i="13"/>
  <c r="S31" i="13"/>
  <c r="S20" i="13"/>
  <c r="S36" i="13"/>
  <c r="S25" i="13"/>
  <c r="S10" i="13"/>
  <c r="S26" i="13"/>
  <c r="C2" i="13"/>
  <c r="C4" i="13" s="1"/>
  <c r="M10" i="8"/>
  <c r="F10" i="8" s="1"/>
  <c r="M26" i="8"/>
  <c r="N26" i="8" s="1"/>
  <c r="M42" i="8"/>
  <c r="N42" i="8" s="1"/>
  <c r="M58" i="8"/>
  <c r="M74" i="8"/>
  <c r="M11" i="8"/>
  <c r="F11" i="8" s="1"/>
  <c r="M27" i="8"/>
  <c r="N27" i="8" s="1"/>
  <c r="M43" i="8"/>
  <c r="N43" i="8" s="1"/>
  <c r="M59" i="8"/>
  <c r="M83" i="8"/>
  <c r="M20" i="8"/>
  <c r="F20" i="8" s="1"/>
  <c r="M36" i="8"/>
  <c r="F36" i="8" s="1"/>
  <c r="M52" i="8"/>
  <c r="M68" i="8"/>
  <c r="M84" i="8"/>
  <c r="M17" i="8"/>
  <c r="F17" i="8" s="1"/>
  <c r="M33" i="8"/>
  <c r="N33" i="8" s="1"/>
  <c r="M49" i="8"/>
  <c r="M65" i="8"/>
  <c r="M81" i="8"/>
  <c r="B13" i="8"/>
  <c r="S71" i="13"/>
  <c r="S63" i="13"/>
  <c r="S55" i="13"/>
  <c r="S47" i="13"/>
  <c r="S70" i="13"/>
  <c r="S62" i="13"/>
  <c r="S54" i="13"/>
  <c r="S46" i="13"/>
  <c r="S19" i="13"/>
  <c r="S35" i="13"/>
  <c r="S24" i="13"/>
  <c r="S13" i="13"/>
  <c r="S29" i="13"/>
  <c r="S14" i="13"/>
  <c r="S30" i="13"/>
  <c r="E22" i="5"/>
  <c r="M14" i="8"/>
  <c r="N14" i="8" s="1"/>
  <c r="M30" i="8"/>
  <c r="F30" i="8" s="1"/>
  <c r="M46" i="8"/>
  <c r="M62" i="8"/>
  <c r="M78" i="8"/>
  <c r="M15" i="8"/>
  <c r="F15" i="8" s="1"/>
  <c r="M31" i="8"/>
  <c r="N31" i="8" s="1"/>
  <c r="M47" i="8"/>
  <c r="M67" i="8"/>
  <c r="M8" i="8"/>
  <c r="F8" i="8" s="1"/>
  <c r="M24" i="8"/>
  <c r="N24" i="8" s="1"/>
  <c r="M40" i="8"/>
  <c r="F40" i="8" s="1"/>
  <c r="M56" i="8"/>
  <c r="M72" i="8"/>
  <c r="M5" i="8"/>
  <c r="N5" i="8" s="1"/>
  <c r="M21" i="8"/>
  <c r="F21" i="8" s="1"/>
  <c r="M37" i="8"/>
  <c r="N37" i="8" s="1"/>
  <c r="M53" i="8"/>
  <c r="M69" i="8"/>
  <c r="M63" i="8"/>
  <c r="M4" i="8"/>
  <c r="F4" i="8" s="1"/>
  <c r="D12" i="7"/>
  <c r="D11" i="14"/>
  <c r="S69" i="13"/>
  <c r="S61" i="13"/>
  <c r="S53" i="13"/>
  <c r="S45" i="13"/>
  <c r="S68" i="13"/>
  <c r="S60" i="13"/>
  <c r="S52" i="13"/>
  <c r="S44" i="13"/>
  <c r="S9" i="13"/>
  <c r="S23" i="13"/>
  <c r="S12" i="13"/>
  <c r="S28" i="13"/>
  <c r="S17" i="13"/>
  <c r="S33" i="13"/>
  <c r="S18" i="13"/>
  <c r="S34" i="13"/>
  <c r="M18" i="8"/>
  <c r="F18" i="8" s="1"/>
  <c r="M34" i="8"/>
  <c r="N34" i="8" s="1"/>
  <c r="M50" i="8"/>
  <c r="M66" i="8"/>
  <c r="M82" i="8"/>
  <c r="M19" i="8"/>
  <c r="F19" i="8" s="1"/>
  <c r="M35" i="8"/>
  <c r="F35" i="8" s="1"/>
  <c r="M51" i="8"/>
  <c r="M71" i="8"/>
  <c r="M12" i="8"/>
  <c r="F12" i="8" s="1"/>
  <c r="M28" i="8"/>
  <c r="F28" i="8" s="1"/>
  <c r="M44" i="8"/>
  <c r="F44" i="8" s="1"/>
  <c r="M60" i="8"/>
  <c r="M76" i="8"/>
  <c r="M9" i="8"/>
  <c r="F9" i="8" s="1"/>
  <c r="M25" i="8"/>
  <c r="F25" i="8" s="1"/>
  <c r="M41" i="8"/>
  <c r="F41" i="8" s="1"/>
  <c r="M57" i="8"/>
  <c r="M73" i="8"/>
  <c r="M79" i="8"/>
  <c r="D11" i="7"/>
  <c r="D26" i="7" s="1"/>
  <c r="D28" i="7" s="1"/>
  <c r="S39" i="13"/>
  <c r="S67" i="13"/>
  <c r="S59" i="13"/>
  <c r="S51" i="13"/>
  <c r="S43" i="13"/>
  <c r="S66" i="13"/>
  <c r="S58" i="13"/>
  <c r="S50" i="13"/>
  <c r="S11" i="13"/>
  <c r="S27" i="13"/>
  <c r="S16" i="13"/>
  <c r="S32" i="13"/>
  <c r="S21" i="13"/>
  <c r="S37" i="13"/>
  <c r="S22" i="13"/>
  <c r="S38" i="13"/>
  <c r="M6" i="8"/>
  <c r="N6" i="8" s="1"/>
  <c r="M22" i="8"/>
  <c r="F22" i="8" s="1"/>
  <c r="M38" i="8"/>
  <c r="N38" i="8" s="1"/>
  <c r="M54" i="8"/>
  <c r="M70" i="8"/>
  <c r="M7" i="8"/>
  <c r="N7" i="8" s="1"/>
  <c r="M23" i="8"/>
  <c r="F23" i="8" s="1"/>
  <c r="M39" i="8"/>
  <c r="N39" i="8" s="1"/>
  <c r="M55" i="8"/>
  <c r="M75" i="8"/>
  <c r="M16" i="8"/>
  <c r="F16" i="8" s="1"/>
  <c r="M32" i="8"/>
  <c r="N32" i="8" s="1"/>
  <c r="M48" i="8"/>
  <c r="M64" i="8"/>
  <c r="M80" i="8"/>
  <c r="M13" i="8"/>
  <c r="N13" i="8" s="1"/>
  <c r="M29" i="8"/>
  <c r="F29" i="8" s="1"/>
  <c r="M45" i="8"/>
  <c r="M61" i="8"/>
  <c r="M77" i="8"/>
  <c r="D14" i="7"/>
  <c r="M17" i="7" s="1"/>
  <c r="D13" i="7"/>
  <c r="S10" i="5"/>
  <c r="K19" i="2"/>
  <c r="K35" i="2" s="1"/>
  <c r="K51" i="2" s="1"/>
  <c r="K20" i="2"/>
  <c r="K36" i="2" s="1"/>
  <c r="K52" i="2" s="1"/>
  <c r="K21" i="2"/>
  <c r="K37" i="2" s="1"/>
  <c r="K53" i="2" s="1"/>
  <c r="K22" i="2"/>
  <c r="K38" i="2" s="1"/>
  <c r="K54" i="2" s="1"/>
  <c r="K23" i="2"/>
  <c r="K39" i="2" s="1"/>
  <c r="K55" i="2" s="1"/>
  <c r="K24" i="2"/>
  <c r="K40" i="2" s="1"/>
  <c r="K56" i="2" s="1"/>
  <c r="K25" i="2"/>
  <c r="K41" i="2" s="1"/>
  <c r="K57" i="2" s="1"/>
  <c r="K26" i="2"/>
  <c r="K42" i="2" s="1"/>
  <c r="K58" i="2" s="1"/>
  <c r="K27" i="2"/>
  <c r="K43" i="2" s="1"/>
  <c r="K59" i="2" s="1"/>
  <c r="K28" i="2"/>
  <c r="K44" i="2" s="1"/>
  <c r="K60" i="2" s="1"/>
  <c r="K29" i="2"/>
  <c r="K45" i="2" s="1"/>
  <c r="K61" i="2" s="1"/>
  <c r="K30" i="2"/>
  <c r="K46" i="2" s="1"/>
  <c r="K62" i="2" s="1"/>
  <c r="K31" i="2"/>
  <c r="K47" i="2" s="1"/>
  <c r="K63" i="2" s="1"/>
  <c r="K32" i="2"/>
  <c r="K48" i="2" s="1"/>
  <c r="K64" i="2" s="1"/>
  <c r="K33" i="2"/>
  <c r="K49" i="2" s="1"/>
  <c r="K65" i="2" s="1"/>
  <c r="K18" i="2"/>
  <c r="K34" i="2" s="1"/>
  <c r="K50" i="2" s="1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50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34" i="2"/>
  <c r="F9" i="13"/>
  <c r="F8" i="13"/>
  <c r="F11" i="13"/>
  <c r="F10" i="13"/>
  <c r="M16" i="5" l="1"/>
  <c r="M43" i="5" s="1"/>
  <c r="I43" i="5" s="1"/>
  <c r="P43" i="5" s="1"/>
  <c r="F51" i="8"/>
  <c r="N51" i="8"/>
  <c r="F69" i="8"/>
  <c r="N69" i="8"/>
  <c r="F46" i="8"/>
  <c r="N46" i="8"/>
  <c r="F81" i="8"/>
  <c r="N81" i="8"/>
  <c r="F45" i="8"/>
  <c r="N45" i="8"/>
  <c r="F64" i="8"/>
  <c r="N64" i="8"/>
  <c r="F75" i="8"/>
  <c r="N75" i="8"/>
  <c r="F73" i="8"/>
  <c r="N73" i="8"/>
  <c r="F50" i="8"/>
  <c r="N50" i="8"/>
  <c r="F53" i="8"/>
  <c r="N53" i="8"/>
  <c r="F72" i="8"/>
  <c r="N72" i="8"/>
  <c r="F65" i="8"/>
  <c r="N65" i="8"/>
  <c r="F84" i="8"/>
  <c r="N84" i="8"/>
  <c r="F79" i="8"/>
  <c r="N79" i="8"/>
  <c r="F48" i="8"/>
  <c r="N48" i="8"/>
  <c r="F76" i="8"/>
  <c r="N76" i="8"/>
  <c r="F56" i="8"/>
  <c r="N56" i="8"/>
  <c r="F67" i="8"/>
  <c r="N67" i="8"/>
  <c r="F78" i="8"/>
  <c r="N78" i="8"/>
  <c r="F49" i="8"/>
  <c r="N49" i="8"/>
  <c r="F68" i="8"/>
  <c r="N68" i="8"/>
  <c r="F83" i="8"/>
  <c r="N83" i="8"/>
  <c r="F55" i="8"/>
  <c r="N55" i="8"/>
  <c r="F70" i="8"/>
  <c r="N70" i="8"/>
  <c r="F57" i="8"/>
  <c r="N57" i="8"/>
  <c r="F77" i="8"/>
  <c r="N77" i="8"/>
  <c r="F54" i="8"/>
  <c r="N54" i="8"/>
  <c r="F60" i="8"/>
  <c r="N60" i="8"/>
  <c r="F71" i="8"/>
  <c r="N71" i="8"/>
  <c r="F82" i="8"/>
  <c r="N82" i="8"/>
  <c r="F63" i="8"/>
  <c r="N63" i="8"/>
  <c r="F47" i="8"/>
  <c r="N47" i="8"/>
  <c r="F62" i="8"/>
  <c r="N62" i="8"/>
  <c r="F52" i="8"/>
  <c r="N52" i="8"/>
  <c r="F59" i="8"/>
  <c r="N59" i="8"/>
  <c r="F74" i="8"/>
  <c r="N74" i="8"/>
  <c r="F61" i="8"/>
  <c r="N61" i="8"/>
  <c r="F80" i="8"/>
  <c r="N80" i="8"/>
  <c r="F66" i="8"/>
  <c r="N66" i="8"/>
  <c r="F58" i="8"/>
  <c r="N58" i="8"/>
  <c r="O44" i="5"/>
  <c r="O45" i="5"/>
  <c r="M39" i="5"/>
  <c r="I44" i="5"/>
  <c r="P44" i="5" s="1"/>
  <c r="J4" i="4"/>
  <c r="J3" i="4"/>
  <c r="F12" i="14" s="1" a="1"/>
  <c r="J5" i="4"/>
  <c r="T30" i="13"/>
  <c r="T37" i="13"/>
  <c r="T27" i="13"/>
  <c r="U43" i="13"/>
  <c r="U21" i="13"/>
  <c r="T18" i="13"/>
  <c r="T12" i="13"/>
  <c r="T66" i="13"/>
  <c r="T52" i="13"/>
  <c r="I17" i="5"/>
  <c r="I22" i="5" s="1"/>
  <c r="J22" i="5" s="1"/>
  <c r="U64" i="13"/>
  <c r="U23" i="13"/>
  <c r="F26" i="8"/>
  <c r="T54" i="13"/>
  <c r="U33" i="13"/>
  <c r="U62" i="13"/>
  <c r="U65" i="13"/>
  <c r="N11" i="8"/>
  <c r="U22" i="13"/>
  <c r="U16" i="13"/>
  <c r="U58" i="13"/>
  <c r="N30" i="8"/>
  <c r="U35" i="13"/>
  <c r="T31" i="13"/>
  <c r="F42" i="8"/>
  <c r="N20" i="8"/>
  <c r="T39" i="13"/>
  <c r="F27" i="8"/>
  <c r="T32" i="13"/>
  <c r="T50" i="13"/>
  <c r="N15" i="8"/>
  <c r="U59" i="13"/>
  <c r="U34" i="13"/>
  <c r="U44" i="13"/>
  <c r="N8" i="8"/>
  <c r="U45" i="13"/>
  <c r="N18" i="8"/>
  <c r="T21" i="13"/>
  <c r="F6" i="8"/>
  <c r="U39" i="13"/>
  <c r="U36" i="13"/>
  <c r="N41" i="8"/>
  <c r="T51" i="13"/>
  <c r="F38" i="8"/>
  <c r="T28" i="13"/>
  <c r="T47" i="13"/>
  <c r="T17" i="13"/>
  <c r="T9" i="13"/>
  <c r="T68" i="13"/>
  <c r="T69" i="13"/>
  <c r="T29" i="13"/>
  <c r="T19" i="13"/>
  <c r="N23" i="8"/>
  <c r="T34" i="13"/>
  <c r="N36" i="8"/>
  <c r="N16" i="8"/>
  <c r="N17" i="8"/>
  <c r="N40" i="8"/>
  <c r="N28" i="8"/>
  <c r="N35" i="8"/>
  <c r="F43" i="8"/>
  <c r="N21" i="8"/>
  <c r="N9" i="8"/>
  <c r="F13" i="13"/>
  <c r="T48" i="13"/>
  <c r="T14" i="13"/>
  <c r="T35" i="13"/>
  <c r="U46" i="13"/>
  <c r="N29" i="8"/>
  <c r="U11" i="13"/>
  <c r="U13" i="13"/>
  <c r="U14" i="13"/>
  <c r="U60" i="13"/>
  <c r="U47" i="13"/>
  <c r="U48" i="13"/>
  <c r="U67" i="13"/>
  <c r="U53" i="13"/>
  <c r="U24" i="13"/>
  <c r="U55" i="13"/>
  <c r="U26" i="13"/>
  <c r="U20" i="13"/>
  <c r="U10" i="13"/>
  <c r="U31" i="13"/>
  <c r="U28" i="13"/>
  <c r="U61" i="13"/>
  <c r="U63" i="13"/>
  <c r="U49" i="13"/>
  <c r="U38" i="13"/>
  <c r="U70" i="13"/>
  <c r="U71" i="13"/>
  <c r="T25" i="13"/>
  <c r="T62" i="13"/>
  <c r="T33" i="13"/>
  <c r="T11" i="13"/>
  <c r="T16" i="13"/>
  <c r="U2" i="13"/>
  <c r="T59" i="13"/>
  <c r="T22" i="13"/>
  <c r="T13" i="13"/>
  <c r="T36" i="13"/>
  <c r="T60" i="13"/>
  <c r="U56" i="13"/>
  <c r="T53" i="13"/>
  <c r="T46" i="13"/>
  <c r="T45" i="13"/>
  <c r="U3" i="13"/>
  <c r="T71" i="13"/>
  <c r="T65" i="13"/>
  <c r="U54" i="13"/>
  <c r="T72" i="13"/>
  <c r="T26" i="13"/>
  <c r="F5" i="8"/>
  <c r="F33" i="8"/>
  <c r="U29" i="13"/>
  <c r="N4" i="8"/>
  <c r="T15" i="13"/>
  <c r="F31" i="8"/>
  <c r="N25" i="8"/>
  <c r="U30" i="13"/>
  <c r="U57" i="13"/>
  <c r="U72" i="13"/>
  <c r="F14" i="8"/>
  <c r="F24" i="8"/>
  <c r="U19" i="13"/>
  <c r="V19" i="13" s="1"/>
  <c r="F37" i="8"/>
  <c r="U17" i="13"/>
  <c r="U12" i="13"/>
  <c r="T24" i="13"/>
  <c r="T43" i="13"/>
  <c r="U73" i="13"/>
  <c r="U25" i="13"/>
  <c r="T23" i="13"/>
  <c r="T10" i="13"/>
  <c r="T20" i="13"/>
  <c r="T56" i="13"/>
  <c r="T63" i="13"/>
  <c r="T70" i="13"/>
  <c r="T73" i="13"/>
  <c r="T49" i="13"/>
  <c r="N10" i="8"/>
  <c r="U15" i="13"/>
  <c r="U4" i="13"/>
  <c r="T64" i="13"/>
  <c r="T44" i="13"/>
  <c r="T55" i="13"/>
  <c r="T58" i="13"/>
  <c r="T57" i="13"/>
  <c r="M14" i="7"/>
  <c r="N14" i="7" s="1"/>
  <c r="O14" i="7" s="1"/>
  <c r="P14" i="7" s="1"/>
  <c r="T14" i="7" s="1"/>
  <c r="U14" i="7" s="1"/>
  <c r="V14" i="7" s="1"/>
  <c r="F34" i="8"/>
  <c r="N19" i="8"/>
  <c r="N12" i="8"/>
  <c r="F39" i="8"/>
  <c r="U27" i="13"/>
  <c r="N22" i="8"/>
  <c r="F7" i="8"/>
  <c r="U18" i="13"/>
  <c r="U52" i="13"/>
  <c r="D51" i="7"/>
  <c r="F32" i="8"/>
  <c r="N44" i="8"/>
  <c r="U69" i="13"/>
  <c r="U68" i="13"/>
  <c r="O18" i="5"/>
  <c r="M21" i="7"/>
  <c r="N21" i="7" s="1"/>
  <c r="O21" i="7" s="1"/>
  <c r="Q21" i="7" s="1"/>
  <c r="R21" i="7" s="1"/>
  <c r="S21" i="7" s="1"/>
  <c r="M15" i="7"/>
  <c r="N15" i="7" s="1"/>
  <c r="O15" i="7" s="1"/>
  <c r="P15" i="7" s="1"/>
  <c r="T15" i="7" s="1"/>
  <c r="U15" i="7" s="1"/>
  <c r="V15" i="7" s="1"/>
  <c r="O17" i="5"/>
  <c r="U9" i="13"/>
  <c r="F13" i="8"/>
  <c r="N17" i="7"/>
  <c r="O17" i="7" s="1"/>
  <c r="Q17" i="7" s="1"/>
  <c r="R17" i="7" s="1"/>
  <c r="S17" i="7" s="1"/>
  <c r="M18" i="7"/>
  <c r="N18" i="7" s="1"/>
  <c r="O18" i="7" s="1"/>
  <c r="P18" i="7" s="1"/>
  <c r="T18" i="7" s="1"/>
  <c r="U18" i="7" s="1"/>
  <c r="V18" i="7" s="1"/>
  <c r="M12" i="7"/>
  <c r="N12" i="7" s="1"/>
  <c r="O12" i="7" s="1"/>
  <c r="Q12" i="7" s="1"/>
  <c r="R12" i="7" s="1"/>
  <c r="S12" i="7" s="1"/>
  <c r="T61" i="13"/>
  <c r="M19" i="7"/>
  <c r="N19" i="7" s="1"/>
  <c r="O19" i="7" s="1"/>
  <c r="P19" i="7" s="1"/>
  <c r="T19" i="7" s="1"/>
  <c r="U19" i="7" s="1"/>
  <c r="V19" i="7" s="1"/>
  <c r="M13" i="7"/>
  <c r="N13" i="7" s="1"/>
  <c r="O13" i="7" s="1"/>
  <c r="P13" i="7" s="1"/>
  <c r="T13" i="7" s="1"/>
  <c r="U13" i="7" s="1"/>
  <c r="V13" i="7" s="1"/>
  <c r="M16" i="7"/>
  <c r="N16" i="7" s="1"/>
  <c r="O16" i="7" s="1"/>
  <c r="P16" i="7" s="1"/>
  <c r="T16" i="7" s="1"/>
  <c r="U16" i="7" s="1"/>
  <c r="V16" i="7" s="1"/>
  <c r="U37" i="13"/>
  <c r="T38" i="13"/>
  <c r="U66" i="13"/>
  <c r="T67" i="13"/>
  <c r="D30" i="7"/>
  <c r="D32" i="7" s="1"/>
  <c r="D47" i="7" s="1"/>
  <c r="M20" i="7"/>
  <c r="N20" i="7" s="1"/>
  <c r="O20" i="7" s="1"/>
  <c r="P20" i="7" s="1"/>
  <c r="T20" i="7" s="1"/>
  <c r="U20" i="7" s="1"/>
  <c r="V20" i="7" s="1"/>
  <c r="M11" i="7"/>
  <c r="N11" i="7" s="1"/>
  <c r="O11" i="7" s="1"/>
  <c r="P11" i="7" s="1"/>
  <c r="T11" i="7" s="1"/>
  <c r="U11" i="7" s="1"/>
  <c r="V11" i="7" s="1"/>
  <c r="U32" i="13"/>
  <c r="U50" i="13"/>
  <c r="U51" i="13"/>
  <c r="Q9" i="5"/>
  <c r="W37" i="13" l="1"/>
  <c r="I16" i="5"/>
  <c r="I21" i="5" s="1"/>
  <c r="J21" i="5" s="1"/>
  <c r="O43" i="5"/>
  <c r="O16" i="5"/>
  <c r="I48" i="5"/>
  <c r="J48" i="5" s="1"/>
  <c r="J43" i="5"/>
  <c r="I49" i="5"/>
  <c r="J49" i="5" s="1"/>
  <c r="J44" i="5"/>
  <c r="W70" i="13"/>
  <c r="X70" i="13" s="1"/>
  <c r="W27" i="13"/>
  <c r="W30" i="13"/>
  <c r="W49" i="13"/>
  <c r="X49" i="13" s="1"/>
  <c r="W9" i="13"/>
  <c r="J17" i="5"/>
  <c r="P17" i="5"/>
  <c r="W60" i="13"/>
  <c r="X60" i="13" s="1"/>
  <c r="V25" i="13"/>
  <c r="W43" i="13"/>
  <c r="X43" i="13" s="1"/>
  <c r="W21" i="13"/>
  <c r="W12" i="13"/>
  <c r="W52" i="13"/>
  <c r="X52" i="13" s="1"/>
  <c r="V18" i="13"/>
  <c r="W46" i="13"/>
  <c r="X46" i="13" s="1"/>
  <c r="V33" i="13"/>
  <c r="W66" i="13"/>
  <c r="X66" i="13" s="1"/>
  <c r="W47" i="13"/>
  <c r="X47" i="13" s="1"/>
  <c r="W54" i="13"/>
  <c r="X54" i="13" s="1"/>
  <c r="V23" i="13"/>
  <c r="W62" i="13"/>
  <c r="X62" i="13" s="1"/>
  <c r="W64" i="13"/>
  <c r="X64" i="13" s="1"/>
  <c r="W65" i="13"/>
  <c r="X65" i="13" s="1"/>
  <c r="W16" i="13"/>
  <c r="W22" i="13"/>
  <c r="W58" i="13"/>
  <c r="X58" i="13" s="1"/>
  <c r="W73" i="13"/>
  <c r="X73" i="13" s="1"/>
  <c r="W13" i="13"/>
  <c r="W31" i="13"/>
  <c r="V35" i="13"/>
  <c r="W39" i="13"/>
  <c r="V39" i="13"/>
  <c r="W50" i="13"/>
  <c r="X50" i="13" s="1"/>
  <c r="V32" i="13"/>
  <c r="W11" i="13"/>
  <c r="V21" i="13"/>
  <c r="W45" i="13"/>
  <c r="X45" i="13" s="1"/>
  <c r="W59" i="13"/>
  <c r="X59" i="13" s="1"/>
  <c r="W38" i="13"/>
  <c r="W34" i="13"/>
  <c r="V22" i="13"/>
  <c r="V34" i="13"/>
  <c r="W56" i="13"/>
  <c r="X56" i="13" s="1"/>
  <c r="W71" i="13"/>
  <c r="X71" i="13" s="1"/>
  <c r="W69" i="13"/>
  <c r="X69" i="13" s="1"/>
  <c r="W10" i="13"/>
  <c r="W44" i="13"/>
  <c r="X44" i="13" s="1"/>
  <c r="W17" i="13"/>
  <c r="V31" i="13"/>
  <c r="W51" i="13"/>
  <c r="X51" i="13" s="1"/>
  <c r="W36" i="13"/>
  <c r="W68" i="13"/>
  <c r="X68" i="13" s="1"/>
  <c r="W28" i="13"/>
  <c r="W61" i="13"/>
  <c r="X61" i="13" s="1"/>
  <c r="V14" i="13"/>
  <c r="W29" i="13"/>
  <c r="V29" i="13"/>
  <c r="W14" i="13"/>
  <c r="V17" i="13"/>
  <c r="W55" i="13"/>
  <c r="X55" i="13" s="1"/>
  <c r="W48" i="13"/>
  <c r="X48" i="13" s="1"/>
  <c r="V27" i="13"/>
  <c r="V12" i="13"/>
  <c r="W35" i="13"/>
  <c r="V36" i="13"/>
  <c r="V28" i="13"/>
  <c r="W57" i="13"/>
  <c r="X57" i="13" s="1"/>
  <c r="V38" i="13"/>
  <c r="W20" i="13"/>
  <c r="W53" i="13"/>
  <c r="X53" i="13" s="1"/>
  <c r="W25" i="13"/>
  <c r="V13" i="13"/>
  <c r="V16" i="13"/>
  <c r="D36" i="7"/>
  <c r="D42" i="7" s="1"/>
  <c r="V30" i="13"/>
  <c r="V37" i="13"/>
  <c r="W33" i="13"/>
  <c r="V20" i="13"/>
  <c r="W72" i="13"/>
  <c r="X72" i="13" s="1"/>
  <c r="W63" i="13"/>
  <c r="X63" i="13" s="1"/>
  <c r="V24" i="13"/>
  <c r="W15" i="13"/>
  <c r="V26" i="13"/>
  <c r="V10" i="13"/>
  <c r="V11" i="13"/>
  <c r="W18" i="13"/>
  <c r="V9" i="13"/>
  <c r="W19" i="13"/>
  <c r="V15" i="13"/>
  <c r="W23" i="13"/>
  <c r="W26" i="13"/>
  <c r="W24" i="13"/>
  <c r="W67" i="13"/>
  <c r="X67" i="13" s="1"/>
  <c r="B18" i="8"/>
  <c r="S32" i="14" s="1"/>
  <c r="P17" i="7"/>
  <c r="T17" i="7" s="1"/>
  <c r="AF17" i="7" s="1"/>
  <c r="W32" i="13"/>
  <c r="Q11" i="7"/>
  <c r="R11" i="7" s="1"/>
  <c r="S11" i="7" s="1"/>
  <c r="AH11" i="7" s="1"/>
  <c r="D46" i="7" s="1"/>
  <c r="G14" i="14"/>
  <c r="G12" i="14"/>
  <c r="F15" i="14"/>
  <c r="F13" i="14"/>
  <c r="F14" i="14"/>
  <c r="F12" i="14"/>
  <c r="G15" i="14"/>
  <c r="G13" i="14"/>
  <c r="V43" i="13"/>
  <c r="V46" i="13"/>
  <c r="V56" i="13"/>
  <c r="V60" i="13"/>
  <c r="V50" i="13"/>
  <c r="V66" i="13"/>
  <c r="V71" i="13"/>
  <c r="V68" i="13"/>
  <c r="V54" i="13"/>
  <c r="V70" i="13"/>
  <c r="V72" i="13"/>
  <c r="V73" i="13"/>
  <c r="V52" i="13"/>
  <c r="V49" i="13"/>
  <c r="V48" i="13"/>
  <c r="V44" i="13"/>
  <c r="V51" i="13"/>
  <c r="V55" i="13"/>
  <c r="V64" i="13"/>
  <c r="V69" i="13"/>
  <c r="V67" i="13"/>
  <c r="V61" i="13"/>
  <c r="V58" i="13"/>
  <c r="V63" i="13"/>
  <c r="V62" i="13"/>
  <c r="V59" i="13"/>
  <c r="V53" i="13"/>
  <c r="V47" i="13"/>
  <c r="V45" i="13"/>
  <c r="V57" i="13"/>
  <c r="V65" i="13"/>
  <c r="Q19" i="7"/>
  <c r="R19" i="7" s="1"/>
  <c r="S19" i="7" s="1"/>
  <c r="AH19" i="7" s="1"/>
  <c r="Q18" i="7"/>
  <c r="R18" i="7" s="1"/>
  <c r="S18" i="7" s="1"/>
  <c r="AH18" i="7" s="1"/>
  <c r="P12" i="7"/>
  <c r="T12" i="7" s="1"/>
  <c r="AF12" i="7" s="1"/>
  <c r="Q20" i="7"/>
  <c r="R20" i="7" s="1"/>
  <c r="S20" i="7" s="1"/>
  <c r="AH20" i="7" s="1"/>
  <c r="Q13" i="7"/>
  <c r="R13" i="7" s="1"/>
  <c r="S13" i="7" s="1"/>
  <c r="AH13" i="7" s="1"/>
  <c r="Q16" i="7"/>
  <c r="R16" i="7" s="1"/>
  <c r="S16" i="7" s="1"/>
  <c r="AH16" i="7" s="1"/>
  <c r="P21" i="7"/>
  <c r="T21" i="7" s="1"/>
  <c r="AF21" i="7" s="1"/>
  <c r="Q15" i="7"/>
  <c r="R15" i="7" s="1"/>
  <c r="S15" i="7" s="1"/>
  <c r="AH15" i="7" s="1"/>
  <c r="Q14" i="7"/>
  <c r="R14" i="7" s="1"/>
  <c r="S14" i="7" s="1"/>
  <c r="AH14" i="7" s="1"/>
  <c r="P16" i="5" l="1"/>
  <c r="J16" i="5"/>
  <c r="D38" i="7"/>
  <c r="AG11" i="7"/>
  <c r="U17" i="7"/>
  <c r="V17" i="7" s="1"/>
  <c r="AH17" i="7" s="1"/>
  <c r="AK18" i="7" s="1"/>
  <c r="AF11" i="7"/>
  <c r="AK20" i="7"/>
  <c r="AG18" i="7"/>
  <c r="AK19" i="7"/>
  <c r="AF19" i="7"/>
  <c r="AG19" i="7"/>
  <c r="AF18" i="7"/>
  <c r="AG16" i="7"/>
  <c r="AF14" i="7"/>
  <c r="AF16" i="7"/>
  <c r="AF13" i="7"/>
  <c r="AK15" i="7"/>
  <c r="AG15" i="7"/>
  <c r="AG13" i="7"/>
  <c r="AF15" i="7"/>
  <c r="AK14" i="7"/>
  <c r="AG14" i="7"/>
  <c r="AF20" i="7"/>
  <c r="AK16" i="7"/>
  <c r="AG20" i="7"/>
  <c r="U12" i="7"/>
  <c r="V12" i="7" s="1"/>
  <c r="AH12" i="7" s="1"/>
  <c r="U21" i="7"/>
  <c r="V21" i="7" s="1"/>
  <c r="AH21" i="7" s="1"/>
  <c r="D48" i="7" s="1"/>
  <c r="AG17" i="7"/>
  <c r="B18" i="1"/>
  <c r="AK17" i="7" l="1"/>
  <c r="AJ19" i="7"/>
  <c r="AJ18" i="7"/>
  <c r="AJ20" i="7"/>
  <c r="AJ16" i="7"/>
  <c r="AJ14" i="7"/>
  <c r="AJ15" i="7"/>
  <c r="AG12" i="7"/>
  <c r="AJ12" i="7" s="1"/>
  <c r="AK13" i="7"/>
  <c r="AH23" i="7"/>
  <c r="AK12" i="7"/>
  <c r="AG21" i="7"/>
  <c r="AJ21" i="7" s="1"/>
  <c r="AK21" i="7"/>
  <c r="AJ17" i="7"/>
  <c r="AJ13" i="7" l="1"/>
  <c r="AJ23" i="7" s="1"/>
  <c r="E13" i="5" s="1"/>
  <c r="E19" i="5" s="1"/>
  <c r="AK23" i="7"/>
  <c r="E14" i="5" l="1"/>
  <c r="E20" i="5" s="1"/>
  <c r="N16" i="5" l="1"/>
  <c r="N43" i="5" s="1"/>
  <c r="N18" i="5"/>
  <c r="N45" i="5" s="1"/>
  <c r="N17" i="5"/>
  <c r="N44" i="5" s="1"/>
  <c r="M13" i="5"/>
  <c r="M40" i="5" s="1"/>
  <c r="N33" i="5" l="1"/>
  <c r="N34" i="5"/>
  <c r="N35" i="5"/>
  <c r="U45" i="1" a="1"/>
  <c r="V46" i="1"/>
  <c r="W49" i="1"/>
  <c r="W46" i="1"/>
  <c r="W48" i="1"/>
  <c r="V45" i="1"/>
  <c r="X50" i="1"/>
  <c r="U48" i="1"/>
  <c r="X49" i="1"/>
  <c r="V48" i="1"/>
  <c r="V50" i="1"/>
  <c r="U46" i="1"/>
  <c r="W51" i="1"/>
  <c r="W45" i="1"/>
  <c r="U49" i="1"/>
  <c r="U50" i="1"/>
  <c r="X45" i="1"/>
  <c r="X47" i="1"/>
  <c r="Y46" i="1"/>
  <c r="Y50" i="1"/>
  <c r="Y48" i="1"/>
  <c r="V49" i="1"/>
  <c r="X46" i="1"/>
  <c r="V51" i="1"/>
  <c r="Y49" i="1"/>
  <c r="U45" i="1"/>
  <c r="X51" i="1"/>
  <c r="U47" i="1"/>
  <c r="V47" i="1"/>
  <c r="W50" i="1"/>
  <c r="Y45" i="1"/>
  <c r="X48" i="1"/>
  <c r="W47" i="1"/>
  <c r="Y47" i="1"/>
  <c r="U51" i="1"/>
  <c r="V53" i="1" l="1"/>
  <c r="V54" i="1" s="1"/>
  <c r="E28" i="5" l="1"/>
  <c r="E36" i="5" s="1"/>
  <c r="I45" i="5"/>
  <c r="E29" i="5"/>
  <c r="I18" i="5"/>
  <c r="G36" i="5" l="1"/>
  <c r="F36" i="5"/>
  <c r="E34" i="5"/>
  <c r="E32" i="5"/>
  <c r="E33" i="5" s="1"/>
  <c r="G34" i="5" s="1"/>
  <c r="J18" i="5"/>
  <c r="I23" i="5"/>
  <c r="J23" i="5" s="1"/>
  <c r="P51" i="1"/>
  <c r="P18" i="5"/>
  <c r="I50" i="5"/>
  <c r="J50" i="5" s="1"/>
  <c r="J45" i="5"/>
  <c r="P45" i="5"/>
  <c r="Y51" i="1" s="1"/>
  <c r="K22" i="5" l="1"/>
  <c r="K23" i="5"/>
  <c r="K21" i="5"/>
  <c r="E30" i="5"/>
  <c r="Q51" i="1"/>
  <c r="K45" i="5"/>
  <c r="K43" i="5"/>
  <c r="K44" i="5"/>
  <c r="K49" i="5"/>
  <c r="K50" i="5"/>
  <c r="K48" i="5"/>
  <c r="K16" i="5"/>
  <c r="K18" i="5"/>
  <c r="K17" i="5"/>
  <c r="S43" i="5" l="1"/>
  <c r="T43" i="5" s="1"/>
  <c r="Q16" i="5"/>
  <c r="R16" i="5" s="1"/>
  <c r="Q17" i="5"/>
  <c r="R17" i="5" s="1"/>
  <c r="Q18" i="5"/>
  <c r="R18" i="5" s="1"/>
  <c r="S45" i="5"/>
  <c r="T45" i="5" s="1"/>
  <c r="O53" i="1" s="1"/>
  <c r="S44" i="5"/>
  <c r="T44" i="5" s="1"/>
  <c r="O52" i="1" s="1"/>
  <c r="Q23" i="5"/>
  <c r="R23" i="5" s="1"/>
  <c r="Q22" i="5"/>
  <c r="R22" i="5" s="1"/>
  <c r="Q21" i="5"/>
  <c r="R21" i="5" s="1"/>
  <c r="Q48" i="5"/>
  <c r="R48" i="5" s="1"/>
  <c r="Q49" i="5"/>
  <c r="R49" i="5" s="1"/>
  <c r="Q50" i="5"/>
  <c r="R50" i="5" s="1"/>
  <c r="S48" i="5" l="1"/>
  <c r="E38" i="5" s="1"/>
  <c r="V58" i="1" s="1"/>
  <c r="S16" i="5"/>
  <c r="S21" i="5"/>
  <c r="V83" i="1" s="1"/>
  <c r="U43" i="5"/>
  <c r="O51" i="1"/>
  <c r="Q67" i="1" l="1"/>
  <c r="O57" i="8" s="1"/>
  <c r="P57" i="8" s="1"/>
  <c r="F38" i="5"/>
  <c r="V86" i="1" s="1"/>
  <c r="G38" i="5"/>
  <c r="X86" i="1" s="1"/>
  <c r="E39" i="5"/>
  <c r="U86" i="1" s="1"/>
  <c r="O21" i="8" l="1"/>
  <c r="P21" i="8" s="1"/>
  <c r="B14" i="8"/>
  <c r="O62" i="8"/>
  <c r="P62" i="8" s="1"/>
  <c r="O47" i="8"/>
  <c r="P47" i="8" s="1"/>
  <c r="O33" i="8"/>
  <c r="P33" i="8" s="1"/>
  <c r="O12" i="8"/>
  <c r="P12" i="8" s="1"/>
  <c r="O52" i="8"/>
  <c r="P52" i="8" s="1"/>
  <c r="O45" i="8"/>
  <c r="P45" i="8" s="1"/>
  <c r="O69" i="8"/>
  <c r="P69" i="8" s="1"/>
  <c r="O55" i="8"/>
  <c r="P55" i="8" s="1"/>
  <c r="O53" i="8"/>
  <c r="P53" i="8" s="1"/>
  <c r="O82" i="8"/>
  <c r="P82" i="8" s="1"/>
  <c r="O44" i="8"/>
  <c r="P44" i="8" s="1"/>
  <c r="O5" i="8"/>
  <c r="P5" i="8" s="1"/>
  <c r="O13" i="8"/>
  <c r="P13" i="8" s="1"/>
  <c r="O63" i="8"/>
  <c r="P63" i="8" s="1"/>
  <c r="O26" i="8"/>
  <c r="P26" i="8" s="1"/>
  <c r="O9" i="8"/>
  <c r="P9" i="8" s="1"/>
  <c r="O39" i="8"/>
  <c r="P39" i="8" s="1"/>
  <c r="O14" i="8"/>
  <c r="P14" i="8" s="1"/>
  <c r="O61" i="8"/>
  <c r="P61" i="8" s="1"/>
  <c r="O32" i="8"/>
  <c r="P32" i="8" s="1"/>
  <c r="O22" i="8"/>
  <c r="P22" i="8" s="1"/>
  <c r="O10" i="8"/>
  <c r="P10" i="8" s="1"/>
  <c r="O37" i="8"/>
  <c r="P37" i="8" s="1"/>
  <c r="O19" i="8"/>
  <c r="P19" i="8" s="1"/>
  <c r="O54" i="8"/>
  <c r="P54" i="8" s="1"/>
  <c r="O35" i="8"/>
  <c r="P35" i="8" s="1"/>
  <c r="O76" i="8"/>
  <c r="P76" i="8" s="1"/>
  <c r="O16" i="8"/>
  <c r="P16" i="8" s="1"/>
  <c r="O41" i="8"/>
  <c r="P41" i="8" s="1"/>
  <c r="O50" i="8"/>
  <c r="P50" i="8" s="1"/>
  <c r="O29" i="8"/>
  <c r="P29" i="8" s="1"/>
  <c r="O73" i="8"/>
  <c r="P73" i="8" s="1"/>
  <c r="O65" i="8"/>
  <c r="P65" i="8" s="1"/>
  <c r="O48" i="8"/>
  <c r="P48" i="8" s="1"/>
  <c r="O8" i="8"/>
  <c r="P8" i="8" s="1"/>
  <c r="O67" i="8"/>
  <c r="P67" i="8" s="1"/>
  <c r="O74" i="8"/>
  <c r="P74" i="8" s="1"/>
  <c r="O80" i="8"/>
  <c r="P80" i="8" s="1"/>
  <c r="O20" i="8"/>
  <c r="P20" i="8" s="1"/>
  <c r="O31" i="8"/>
  <c r="P31" i="8" s="1"/>
  <c r="O43" i="8"/>
  <c r="P43" i="8" s="1"/>
  <c r="O83" i="8"/>
  <c r="P83" i="8" s="1"/>
  <c r="O68" i="8"/>
  <c r="P68" i="8" s="1"/>
  <c r="O71" i="8"/>
  <c r="P71" i="8" s="1"/>
  <c r="O51" i="8"/>
  <c r="P51" i="8" s="1"/>
  <c r="O27" i="8"/>
  <c r="P27" i="8" s="1"/>
  <c r="O77" i="8"/>
  <c r="P77" i="8" s="1"/>
  <c r="O42" i="8"/>
  <c r="P42" i="8" s="1"/>
  <c r="O34" i="8"/>
  <c r="P34" i="8" s="1"/>
  <c r="O28" i="8"/>
  <c r="P28" i="8" s="1"/>
  <c r="O56" i="8"/>
  <c r="P56" i="8" s="1"/>
  <c r="O18" i="8"/>
  <c r="P18" i="8" s="1"/>
  <c r="O11" i="8"/>
  <c r="P11" i="8" s="1"/>
  <c r="O23" i="8"/>
  <c r="P23" i="8" s="1"/>
  <c r="O40" i="8"/>
  <c r="P40" i="8" s="1"/>
  <c r="O72" i="8"/>
  <c r="P72" i="8" s="1"/>
  <c r="O75" i="8"/>
  <c r="P75" i="8" s="1"/>
  <c r="V77" i="1"/>
  <c r="O24" i="8"/>
  <c r="P24" i="8" s="1"/>
  <c r="O17" i="8"/>
  <c r="P17" i="8" s="1"/>
  <c r="O4" i="8"/>
  <c r="P4" i="8" s="1"/>
  <c r="O36" i="8"/>
  <c r="P36" i="8" s="1"/>
  <c r="O46" i="8"/>
  <c r="P46" i="8" s="1"/>
  <c r="O64" i="8"/>
  <c r="P64" i="8" s="1"/>
  <c r="O59" i="8"/>
  <c r="P59" i="8" s="1"/>
  <c r="O66" i="8"/>
  <c r="P66" i="8" s="1"/>
  <c r="V76" i="1"/>
  <c r="B15" i="8" s="1"/>
  <c r="O78" i="8"/>
  <c r="P78" i="8" s="1"/>
  <c r="O84" i="8"/>
  <c r="P84" i="8" s="1"/>
  <c r="O49" i="8"/>
  <c r="P49" i="8" s="1"/>
  <c r="O70" i="8"/>
  <c r="P70" i="8" s="1"/>
  <c r="O38" i="8"/>
  <c r="P38" i="8" s="1"/>
  <c r="O58" i="8"/>
  <c r="P58" i="8" s="1"/>
  <c r="O81" i="8"/>
  <c r="P81" i="8" s="1"/>
  <c r="O79" i="8"/>
  <c r="P79" i="8" s="1"/>
  <c r="O6" i="8"/>
  <c r="P6" i="8" s="1"/>
  <c r="O15" i="8"/>
  <c r="P15" i="8" s="1"/>
  <c r="O25" i="8"/>
  <c r="P25" i="8" s="1"/>
  <c r="O60" i="8"/>
  <c r="P60" i="8" s="1"/>
  <c r="O7" i="8"/>
  <c r="P7" i="8" s="1"/>
  <c r="O30" i="8"/>
  <c r="P30" i="8" s="1"/>
</calcChain>
</file>

<file path=xl/sharedStrings.xml><?xml version="1.0" encoding="utf-8"?>
<sst xmlns="http://schemas.openxmlformats.org/spreadsheetml/2006/main" count="2407" uniqueCount="945">
  <si>
    <t>Stroke (mm)</t>
  </si>
  <si>
    <t>Min Gas Pressure (bar)</t>
  </si>
  <si>
    <t>Max Gas Pressure (bar)</t>
  </si>
  <si>
    <t>Piston Area (dm2)</t>
  </si>
  <si>
    <t>Description</t>
  </si>
  <si>
    <t>m/s</t>
  </si>
  <si>
    <t xml:space="preserve"> </t>
  </si>
  <si>
    <t>mm</t>
  </si>
  <si>
    <t>kN</t>
  </si>
  <si>
    <t>bar</t>
  </si>
  <si>
    <t>IMPORTANT:</t>
  </si>
  <si>
    <t>Please send feeback and comments to:</t>
  </si>
  <si>
    <t>info@kaller.com</t>
  </si>
  <si>
    <t>-</t>
  </si>
  <si>
    <t>HCPType</t>
  </si>
  <si>
    <t>Skriv i dessa manuellt för List_box_1</t>
  </si>
  <si>
    <t>Cell-länk</t>
  </si>
  <si>
    <t>Index 1</t>
  </si>
  <si>
    <t>Index 2</t>
  </si>
  <si>
    <t>Index 3</t>
  </si>
  <si>
    <t>Index 4</t>
  </si>
  <si>
    <t>List_Box_2</t>
  </si>
  <si>
    <t>List_Box_3</t>
  </si>
  <si>
    <t>Skriv in dessa manuellt</t>
  </si>
  <si>
    <t>Tillhör Listbox_12</t>
  </si>
  <si>
    <t>Power Unit (HCP)</t>
  </si>
  <si>
    <t>Power Unit with separate accumulator (HCP-S)</t>
  </si>
  <si>
    <t>Non Adjustable</t>
  </si>
  <si>
    <t>Adjustable</t>
  </si>
  <si>
    <t>KF2-A 1500</t>
  </si>
  <si>
    <t>KF2-A 3000</t>
  </si>
  <si>
    <t>KF2-A 5000</t>
  </si>
  <si>
    <t>KF2-A 7500</t>
  </si>
  <si>
    <t>KF2 1500</t>
  </si>
  <si>
    <t>KF2 3000</t>
  </si>
  <si>
    <t>KF2 5000</t>
  </si>
  <si>
    <t>KF2 7500</t>
  </si>
  <si>
    <t>KF2-A 1500-010</t>
  </si>
  <si>
    <t>KF2-A 1500-020</t>
  </si>
  <si>
    <t>KF2-A 1500-030</t>
  </si>
  <si>
    <t>KF2-A 1500-040</t>
  </si>
  <si>
    <t>KF2-A 1500-050</t>
  </si>
  <si>
    <t>KF2-A 1500-060</t>
  </si>
  <si>
    <t>KF2-A 1500-070</t>
  </si>
  <si>
    <t>KF2-A 1500-080</t>
  </si>
  <si>
    <t>KF2-A 1500-090</t>
  </si>
  <si>
    <t>KF2-A 1500-100</t>
  </si>
  <si>
    <t>KF2-A 1500-110</t>
  </si>
  <si>
    <t>KF2-A 1500-120</t>
  </si>
  <si>
    <t>KF2-A 1500-130</t>
  </si>
  <si>
    <t>KF2-A 1500-140</t>
  </si>
  <si>
    <t>KF2-A 1500-150</t>
  </si>
  <si>
    <t>KF2-A 1500-160</t>
  </si>
  <si>
    <t>KF2-A 3000-010</t>
  </si>
  <si>
    <t>KF2-A 3000-020</t>
  </si>
  <si>
    <t>KF2-A 3000-030</t>
  </si>
  <si>
    <t>KF2-A 3000-040</t>
  </si>
  <si>
    <t>KF2-A 3000-050</t>
  </si>
  <si>
    <t>KF2-A 3000-060</t>
  </si>
  <si>
    <t>KF2-A 3000-070</t>
  </si>
  <si>
    <t>KF2-A 3000-080</t>
  </si>
  <si>
    <t>KF2-A 3000-090</t>
  </si>
  <si>
    <t>KF2-A 3000-100</t>
  </si>
  <si>
    <t>KF2-A 3000-110</t>
  </si>
  <si>
    <t>KF2-A 3000-120</t>
  </si>
  <si>
    <t>KF2-A 3000-130</t>
  </si>
  <si>
    <t>KF2-A 3000-140</t>
  </si>
  <si>
    <t>KF2-A 3000-150</t>
  </si>
  <si>
    <t>KF2-A 3000-160</t>
  </si>
  <si>
    <t>KF2-A 5000-010</t>
  </si>
  <si>
    <t>KF2-A 5000-020</t>
  </si>
  <si>
    <t>KF2-A 5000-030</t>
  </si>
  <si>
    <t>KF2-A 5000-040</t>
  </si>
  <si>
    <t>KF2-A 5000-050</t>
  </si>
  <si>
    <t>KF2-A 5000-060</t>
  </si>
  <si>
    <t>KF2-A 5000-070</t>
  </si>
  <si>
    <t>KF2-A 5000-080</t>
  </si>
  <si>
    <t>KF2-A 5000-090</t>
  </si>
  <si>
    <t>KF2-A 5000-100</t>
  </si>
  <si>
    <t>KF2-A 5000-110</t>
  </si>
  <si>
    <t>KF2-A 5000-120</t>
  </si>
  <si>
    <t>KF2-A 5000-130</t>
  </si>
  <si>
    <t>KF2-A 5000-140</t>
  </si>
  <si>
    <t>KF2-A 5000-150</t>
  </si>
  <si>
    <t>KF2-A 5000-160</t>
  </si>
  <si>
    <t>KF2-A 7500-010</t>
  </si>
  <si>
    <t>KF2-A 7500-020</t>
  </si>
  <si>
    <t>KF2-A 7500-030</t>
  </si>
  <si>
    <t>KF2-A 7500-040</t>
  </si>
  <si>
    <t>KF2-A 7500-050</t>
  </si>
  <si>
    <t>KF2-A 7500-060</t>
  </si>
  <si>
    <t>KF2-A 7500-070</t>
  </si>
  <si>
    <t>KF2-A 7500-080</t>
  </si>
  <si>
    <t>KF2-A 7500-090</t>
  </si>
  <si>
    <t>KF2-A 7500-100</t>
  </si>
  <si>
    <t>KF2-A 7500-110</t>
  </si>
  <si>
    <t>KF2-A 7500-120</t>
  </si>
  <si>
    <t>KF2-A 7500-130</t>
  </si>
  <si>
    <t>KF2-A 7500-140</t>
  </si>
  <si>
    <t>KF2-A 7500-150</t>
  </si>
  <si>
    <t>KF2-A 7500-160</t>
  </si>
  <si>
    <t>Return Speed</t>
  </si>
  <si>
    <t>Min Stroke Length</t>
  </si>
  <si>
    <t>Max Stroke Length</t>
  </si>
  <si>
    <t>L min</t>
  </si>
  <si>
    <t>Max. Charge Pressure</t>
  </si>
  <si>
    <t>Min. Charge Pressure</t>
  </si>
  <si>
    <t>Max. Stroke Length</t>
  </si>
  <si>
    <t>Min. Stroke Length</t>
  </si>
  <si>
    <t>Used Stroke Length</t>
  </si>
  <si>
    <t>Charge Pressure</t>
  </si>
  <si>
    <t>Strokes per minute</t>
  </si>
  <si>
    <t>spm</t>
  </si>
  <si>
    <t>Adjustment</t>
  </si>
  <si>
    <t>Stroke adjustment</t>
  </si>
  <si>
    <t>Spacer (1 mm)</t>
  </si>
  <si>
    <t>Spacer (2 mm)</t>
  </si>
  <si>
    <t>Spacer (4 mm)</t>
  </si>
  <si>
    <t>Spacer (8 mm)</t>
  </si>
  <si>
    <t>Configuration</t>
  </si>
  <si>
    <t>Heat Factor</t>
  </si>
  <si>
    <t>Model size</t>
  </si>
  <si>
    <t>Max Heatfactor without cooling</t>
  </si>
  <si>
    <t>Liquid Cooling</t>
  </si>
  <si>
    <t>Nitro Cooler</t>
  </si>
  <si>
    <t>KF2 1500-010</t>
  </si>
  <si>
    <t>KF2 1500-012</t>
  </si>
  <si>
    <t>KF2 1500-011</t>
  </si>
  <si>
    <t>KF2 1500-013</t>
  </si>
  <si>
    <t>KF2 1500-014</t>
  </si>
  <si>
    <t>KF2 1500-015</t>
  </si>
  <si>
    <t>KF2 1500-016</t>
  </si>
  <si>
    <t>KF2 1500-017</t>
  </si>
  <si>
    <t>KF2 1500-018</t>
  </si>
  <si>
    <t>KF2 1500-019</t>
  </si>
  <si>
    <t>KF2 1500-020</t>
  </si>
  <si>
    <t>KF2 1500-021</t>
  </si>
  <si>
    <t>KF2 1500-022</t>
  </si>
  <si>
    <t>KF2 1500-023</t>
  </si>
  <si>
    <t>KF2 1500-024</t>
  </si>
  <si>
    <t>KF2 1500-025</t>
  </si>
  <si>
    <t>KF2 1500-026</t>
  </si>
  <si>
    <t>KF2 1500-027</t>
  </si>
  <si>
    <t>KF2 1500-028</t>
  </si>
  <si>
    <t>KF2 1500-029</t>
  </si>
  <si>
    <t>KF2 1500-030</t>
  </si>
  <si>
    <t>KF2 1500-031</t>
  </si>
  <si>
    <t>KF2 1500-032</t>
  </si>
  <si>
    <t>KF2 1500-033</t>
  </si>
  <si>
    <t>KF2 1500-034</t>
  </si>
  <si>
    <t>KF2 1500-035</t>
  </si>
  <si>
    <t>KF2 1500-036</t>
  </si>
  <si>
    <t>KF2 1500-037</t>
  </si>
  <si>
    <t>KF2 1500-038</t>
  </si>
  <si>
    <t>KF2 1500-039</t>
  </si>
  <si>
    <t>KF2 1500-040</t>
  </si>
  <si>
    <t>KF2 1500-041</t>
  </si>
  <si>
    <t>KF2 1500-042</t>
  </si>
  <si>
    <t>KF2 1500-043</t>
  </si>
  <si>
    <t>KF2 1500-044</t>
  </si>
  <si>
    <t>KF2 1500-045</t>
  </si>
  <si>
    <t>KF2 1500-046</t>
  </si>
  <si>
    <t>KF2 1500-047</t>
  </si>
  <si>
    <t>KF2 1500-048</t>
  </si>
  <si>
    <t>KF2 1500-049</t>
  </si>
  <si>
    <t>KF2 1500-050</t>
  </si>
  <si>
    <t>KF2 1500-051</t>
  </si>
  <si>
    <t>KF2 1500-052</t>
  </si>
  <si>
    <t>KF2 1500-053</t>
  </si>
  <si>
    <t>KF2 1500-054</t>
  </si>
  <si>
    <t>KF2 1500-055</t>
  </si>
  <si>
    <t>KF2 1500-056</t>
  </si>
  <si>
    <t>KF2 1500-057</t>
  </si>
  <si>
    <t>KF2 1500-058</t>
  </si>
  <si>
    <t>KF2 1500-059</t>
  </si>
  <si>
    <t>KF2 1500-060</t>
  </si>
  <si>
    <t>KF2 1500-061</t>
  </si>
  <si>
    <t>KF2 1500-062</t>
  </si>
  <si>
    <t>KF2 1500-063</t>
  </si>
  <si>
    <t>KF2 1500-064</t>
  </si>
  <si>
    <t>KF2 1500-065</t>
  </si>
  <si>
    <t>KF2 1500-066</t>
  </si>
  <si>
    <t>KF2 1500-067</t>
  </si>
  <si>
    <t>KF2 1500-068</t>
  </si>
  <si>
    <t>KF2 1500-069</t>
  </si>
  <si>
    <t>KF2 1500-070</t>
  </si>
  <si>
    <t>KF2 1500-071</t>
  </si>
  <si>
    <t>KF2 1500-072</t>
  </si>
  <si>
    <t>KF2 1500-073</t>
  </si>
  <si>
    <t>KF2 1500-074</t>
  </si>
  <si>
    <t>KF2 1500-075</t>
  </si>
  <si>
    <t>KF2 1500-076</t>
  </si>
  <si>
    <t>KF2 1500-077</t>
  </si>
  <si>
    <t>KF2 1500-078</t>
  </si>
  <si>
    <t>KF2 1500-079</t>
  </si>
  <si>
    <t>KF2 1500-080</t>
  </si>
  <si>
    <t>KF2 1500-081</t>
  </si>
  <si>
    <t>KF2 1500-082</t>
  </si>
  <si>
    <t>KF2 1500-083</t>
  </si>
  <si>
    <t>KF2 1500-084</t>
  </si>
  <si>
    <t>KF2 1500-085</t>
  </si>
  <si>
    <t>KF2 1500-086</t>
  </si>
  <si>
    <t>KF2 1500-087</t>
  </si>
  <si>
    <t>KF2 1500-088</t>
  </si>
  <si>
    <t>KF2 1500-089</t>
  </si>
  <si>
    <t>KF2 1500-090</t>
  </si>
  <si>
    <t>KF2 1500-091</t>
  </si>
  <si>
    <t>KF2 1500-092</t>
  </si>
  <si>
    <t>KF2 1500-093</t>
  </si>
  <si>
    <t>KF2 1500-094</t>
  </si>
  <si>
    <t>KF2 1500-095</t>
  </si>
  <si>
    <t>KF2 1500-096</t>
  </si>
  <si>
    <t>KF2 1500-097</t>
  </si>
  <si>
    <t>KF2 1500-098</t>
  </si>
  <si>
    <t>KF2 1500-099</t>
  </si>
  <si>
    <t>KF2 1500-100</t>
  </si>
  <si>
    <t>KF2 1500-101</t>
  </si>
  <si>
    <t>KF2 1500-102</t>
  </si>
  <si>
    <t>KF2 1500-103</t>
  </si>
  <si>
    <t>KF2 1500-104</t>
  </si>
  <si>
    <t>KF2 1500-105</t>
  </si>
  <si>
    <t>KF2 1500-106</t>
  </si>
  <si>
    <t>KF2 1500-107</t>
  </si>
  <si>
    <t>KF2 1500-108</t>
  </si>
  <si>
    <t>KF2 1500-109</t>
  </si>
  <si>
    <t>KF2 1500-110</t>
  </si>
  <si>
    <t>KF2 1500-111</t>
  </si>
  <si>
    <t>KF2 1500-112</t>
  </si>
  <si>
    <t>KF2 1500-113</t>
  </si>
  <si>
    <t>KF2 1500-114</t>
  </si>
  <si>
    <t>KF2 1500-115</t>
  </si>
  <si>
    <t>KF2 1500-116</t>
  </si>
  <si>
    <t>KF2 1500-117</t>
  </si>
  <si>
    <t>KF2 1500-118</t>
  </si>
  <si>
    <t>KF2 1500-119</t>
  </si>
  <si>
    <t>KF2 1500-120</t>
  </si>
  <si>
    <t>KF2 1500-121</t>
  </si>
  <si>
    <t>KF2 1500-122</t>
  </si>
  <si>
    <t>KF2 1500-123</t>
  </si>
  <si>
    <t>KF2 1500-124</t>
  </si>
  <si>
    <t>KF2 1500-125</t>
  </si>
  <si>
    <t>KF2 1500-126</t>
  </si>
  <si>
    <t>KF2 1500-127</t>
  </si>
  <si>
    <t>KF2 1500-128</t>
  </si>
  <si>
    <t>KF2 1500-129</t>
  </si>
  <si>
    <t>KF2 1500-130</t>
  </si>
  <si>
    <t>KF2 1500-131</t>
  </si>
  <si>
    <t>KF2 1500-132</t>
  </si>
  <si>
    <t>KF2 1500-133</t>
  </si>
  <si>
    <t>KF2 1500-134</t>
  </si>
  <si>
    <t>KF2 1500-135</t>
  </si>
  <si>
    <t>KF2 1500-136</t>
  </si>
  <si>
    <t>KF2 1500-137</t>
  </si>
  <si>
    <t>KF2 1500-138</t>
  </si>
  <si>
    <t>KF2 1500-139</t>
  </si>
  <si>
    <t>KF2 1500-140</t>
  </si>
  <si>
    <t>KF2 1500-141</t>
  </si>
  <si>
    <t>KF2 1500-142</t>
  </si>
  <si>
    <t>KF2 1500-143</t>
  </si>
  <si>
    <t>KF2 1500-144</t>
  </si>
  <si>
    <t>KF2 1500-145</t>
  </si>
  <si>
    <t>KF2 1500-146</t>
  </si>
  <si>
    <t>KF2 1500-147</t>
  </si>
  <si>
    <t>KF2 1500-148</t>
  </si>
  <si>
    <t>KF2 1500-149</t>
  </si>
  <si>
    <t>KF2 1500-150</t>
  </si>
  <si>
    <t>KF2 1500-151</t>
  </si>
  <si>
    <t>KF2 1500-152</t>
  </si>
  <si>
    <t>KF2 1500-153</t>
  </si>
  <si>
    <t>KF2 1500-154</t>
  </si>
  <si>
    <t>KF2 1500-155</t>
  </si>
  <si>
    <t>KF2 1500-156</t>
  </si>
  <si>
    <t>KF2 1500-157</t>
  </si>
  <si>
    <t>KF2 1500-158</t>
  </si>
  <si>
    <t>KF2 1500-159</t>
  </si>
  <si>
    <t>KF2 1500-160</t>
  </si>
  <si>
    <t>KF2 3000-010</t>
  </si>
  <si>
    <t>KF2 3000-011</t>
  </si>
  <si>
    <t>KF2 3000-012</t>
  </si>
  <si>
    <t>KF2 3000-013</t>
  </si>
  <si>
    <t>KF2 3000-014</t>
  </si>
  <si>
    <t>KF2 3000-015</t>
  </si>
  <si>
    <t>KF2 3000-016</t>
  </si>
  <si>
    <t>KF2 3000-017</t>
  </si>
  <si>
    <t>KF2 3000-018</t>
  </si>
  <si>
    <t>KF2 3000-019</t>
  </si>
  <si>
    <t>KF2 3000-020</t>
  </si>
  <si>
    <t>KF2 3000-021</t>
  </si>
  <si>
    <t>KF2 3000-022</t>
  </si>
  <si>
    <t>KF2 3000-023</t>
  </si>
  <si>
    <t>KF2 3000-024</t>
  </si>
  <si>
    <t>KF2 3000-025</t>
  </si>
  <si>
    <t>KF2 3000-026</t>
  </si>
  <si>
    <t>KF2 3000-027</t>
  </si>
  <si>
    <t>KF2 3000-028</t>
  </si>
  <si>
    <t>KF2 3000-029</t>
  </si>
  <si>
    <t>KF2 3000-030</t>
  </si>
  <si>
    <t>KF2 3000-031</t>
  </si>
  <si>
    <t>KF2 3000-032</t>
  </si>
  <si>
    <t>KF2 3000-033</t>
  </si>
  <si>
    <t>KF2 3000-034</t>
  </si>
  <si>
    <t>KF2 3000-035</t>
  </si>
  <si>
    <t>KF2 3000-036</t>
  </si>
  <si>
    <t>KF2 3000-037</t>
  </si>
  <si>
    <t>KF2 3000-038</t>
  </si>
  <si>
    <t>KF2 3000-039</t>
  </si>
  <si>
    <t>KF2 3000-040</t>
  </si>
  <si>
    <t>KF2 3000-041</t>
  </si>
  <si>
    <t>KF2 3000-042</t>
  </si>
  <si>
    <t>KF2 3000-043</t>
  </si>
  <si>
    <t>KF2 3000-044</t>
  </si>
  <si>
    <t>KF2 3000-045</t>
  </si>
  <si>
    <t>KF2 3000-046</t>
  </si>
  <si>
    <t>KF2 3000-047</t>
  </si>
  <si>
    <t>KF2 3000-048</t>
  </si>
  <si>
    <t>KF2 3000-049</t>
  </si>
  <si>
    <t>KF2 3000-050</t>
  </si>
  <si>
    <t>KF2 3000-051</t>
  </si>
  <si>
    <t>KF2 3000-052</t>
  </si>
  <si>
    <t>KF2 3000-053</t>
  </si>
  <si>
    <t>KF2 3000-054</t>
  </si>
  <si>
    <t>KF2 3000-055</t>
  </si>
  <si>
    <t>KF2 3000-056</t>
  </si>
  <si>
    <t>KF2 3000-057</t>
  </si>
  <si>
    <t>KF2 3000-058</t>
  </si>
  <si>
    <t>KF2 3000-059</t>
  </si>
  <si>
    <t>KF2 3000-060</t>
  </si>
  <si>
    <t>KF2 3000-061</t>
  </si>
  <si>
    <t>KF2 3000-062</t>
  </si>
  <si>
    <t>KF2 3000-063</t>
  </si>
  <si>
    <t>KF2 3000-064</t>
  </si>
  <si>
    <t>KF2 3000-065</t>
  </si>
  <si>
    <t>KF2 3000-066</t>
  </si>
  <si>
    <t>KF2 3000-067</t>
  </si>
  <si>
    <t>KF2 3000-068</t>
  </si>
  <si>
    <t>KF2 3000-069</t>
  </si>
  <si>
    <t>KF2 3000-070</t>
  </si>
  <si>
    <t>KF2 3000-071</t>
  </si>
  <si>
    <t>KF2 3000-072</t>
  </si>
  <si>
    <t>KF2 3000-073</t>
  </si>
  <si>
    <t>KF2 3000-074</t>
  </si>
  <si>
    <t>KF2 3000-075</t>
  </si>
  <si>
    <t>KF2 3000-076</t>
  </si>
  <si>
    <t>KF2 3000-077</t>
  </si>
  <si>
    <t>KF2 3000-078</t>
  </si>
  <si>
    <t>KF2 3000-079</t>
  </si>
  <si>
    <t>KF2 3000-080</t>
  </si>
  <si>
    <t>KF2 3000-081</t>
  </si>
  <si>
    <t>KF2 3000-082</t>
  </si>
  <si>
    <t>KF2 3000-083</t>
  </si>
  <si>
    <t>KF2 3000-084</t>
  </si>
  <si>
    <t>KF2 3000-085</t>
  </si>
  <si>
    <t>KF2 3000-086</t>
  </si>
  <si>
    <t>KF2 3000-087</t>
  </si>
  <si>
    <t>KF2 3000-088</t>
  </si>
  <si>
    <t>KF2 3000-089</t>
  </si>
  <si>
    <t>KF2 3000-090</t>
  </si>
  <si>
    <t>KF2 3000-091</t>
  </si>
  <si>
    <t>KF2 3000-092</t>
  </si>
  <si>
    <t>KF2 3000-093</t>
  </si>
  <si>
    <t>KF2 3000-094</t>
  </si>
  <si>
    <t>KF2 3000-095</t>
  </si>
  <si>
    <t>KF2 3000-096</t>
  </si>
  <si>
    <t>KF2 3000-097</t>
  </si>
  <si>
    <t>KF2 3000-098</t>
  </si>
  <si>
    <t>KF2 3000-099</t>
  </si>
  <si>
    <t>KF2 3000-100</t>
  </si>
  <si>
    <t>KF2 3000-101</t>
  </si>
  <si>
    <t>KF2 3000-102</t>
  </si>
  <si>
    <t>KF2 3000-103</t>
  </si>
  <si>
    <t>KF2 3000-104</t>
  </si>
  <si>
    <t>KF2 3000-105</t>
  </si>
  <si>
    <t>KF2 3000-106</t>
  </si>
  <si>
    <t>KF2 3000-107</t>
  </si>
  <si>
    <t>KF2 3000-108</t>
  </si>
  <si>
    <t>KF2 3000-109</t>
  </si>
  <si>
    <t>KF2 3000-110</t>
  </si>
  <si>
    <t>KF2 3000-111</t>
  </si>
  <si>
    <t>KF2 3000-112</t>
  </si>
  <si>
    <t>KF2 3000-113</t>
  </si>
  <si>
    <t>KF2 3000-114</t>
  </si>
  <si>
    <t>KF2 3000-115</t>
  </si>
  <si>
    <t>KF2 3000-116</t>
  </si>
  <si>
    <t>KF2 3000-117</t>
  </si>
  <si>
    <t>KF2 3000-118</t>
  </si>
  <si>
    <t>KF2 3000-119</t>
  </si>
  <si>
    <t>KF2 3000-120</t>
  </si>
  <si>
    <t>KF2 3000-121</t>
  </si>
  <si>
    <t>KF2 3000-122</t>
  </si>
  <si>
    <t>KF2 3000-123</t>
  </si>
  <si>
    <t>KF2 3000-124</t>
  </si>
  <si>
    <t>KF2 3000-125</t>
  </si>
  <si>
    <t>KF2 3000-126</t>
  </si>
  <si>
    <t>KF2 3000-127</t>
  </si>
  <si>
    <t>KF2 3000-128</t>
  </si>
  <si>
    <t>KF2 3000-129</t>
  </si>
  <si>
    <t>KF2 3000-130</t>
  </si>
  <si>
    <t>KF2 3000-131</t>
  </si>
  <si>
    <t>KF2 3000-132</t>
  </si>
  <si>
    <t>KF2 3000-133</t>
  </si>
  <si>
    <t>KF2 3000-134</t>
  </si>
  <si>
    <t>KF2 3000-135</t>
  </si>
  <si>
    <t>KF2 3000-136</t>
  </si>
  <si>
    <t>KF2 3000-137</t>
  </si>
  <si>
    <t>KF2 3000-138</t>
  </si>
  <si>
    <t>KF2 3000-139</t>
  </si>
  <si>
    <t>KF2 3000-140</t>
  </si>
  <si>
    <t>KF2 3000-141</t>
  </si>
  <si>
    <t>KF2 3000-142</t>
  </si>
  <si>
    <t>KF2 3000-143</t>
  </si>
  <si>
    <t>KF2 3000-144</t>
  </si>
  <si>
    <t>KF2 3000-145</t>
  </si>
  <si>
    <t>KF2 3000-146</t>
  </si>
  <si>
    <t>KF2 3000-147</t>
  </si>
  <si>
    <t>KF2 3000-148</t>
  </si>
  <si>
    <t>KF2 3000-149</t>
  </si>
  <si>
    <t>KF2 3000-150</t>
  </si>
  <si>
    <t>KF2 3000-151</t>
  </si>
  <si>
    <t>KF2 3000-152</t>
  </si>
  <si>
    <t>KF2 3000-153</t>
  </si>
  <si>
    <t>KF2 3000-154</t>
  </si>
  <si>
    <t>KF2 3000-155</t>
  </si>
  <si>
    <t>KF2 3000-156</t>
  </si>
  <si>
    <t>KF2 3000-157</t>
  </si>
  <si>
    <t>KF2 3000-158</t>
  </si>
  <si>
    <t>KF2 3000-159</t>
  </si>
  <si>
    <t>KF2 3000-160</t>
  </si>
  <si>
    <t>KF2 5000-010</t>
  </si>
  <si>
    <t>KF2 5000-011</t>
  </si>
  <si>
    <t>KF2 5000-012</t>
  </si>
  <si>
    <t>KF2 5000-013</t>
  </si>
  <si>
    <t>KF2 5000-014</t>
  </si>
  <si>
    <t>KF2 5000-015</t>
  </si>
  <si>
    <t>KF2 5000-016</t>
  </si>
  <si>
    <t>KF2 5000-017</t>
  </si>
  <si>
    <t>KF2 5000-018</t>
  </si>
  <si>
    <t>KF2 5000-019</t>
  </si>
  <si>
    <t>KF2 5000-020</t>
  </si>
  <si>
    <t>KF2 5000-021</t>
  </si>
  <si>
    <t>KF2 5000-022</t>
  </si>
  <si>
    <t>KF2 5000-023</t>
  </si>
  <si>
    <t>KF2 5000-024</t>
  </si>
  <si>
    <t>KF2 5000-025</t>
  </si>
  <si>
    <t>KF2 5000-026</t>
  </si>
  <si>
    <t>KF2 5000-027</t>
  </si>
  <si>
    <t>KF2 5000-028</t>
  </si>
  <si>
    <t>KF2 5000-029</t>
  </si>
  <si>
    <t>KF2 5000-030</t>
  </si>
  <si>
    <t>KF2 5000-031</t>
  </si>
  <si>
    <t>KF2 5000-032</t>
  </si>
  <si>
    <t>KF2 5000-033</t>
  </si>
  <si>
    <t>KF2 5000-034</t>
  </si>
  <si>
    <t>KF2 5000-035</t>
  </si>
  <si>
    <t>KF2 5000-036</t>
  </si>
  <si>
    <t>KF2 5000-037</t>
  </si>
  <si>
    <t>KF2 5000-038</t>
  </si>
  <si>
    <t>KF2 5000-039</t>
  </si>
  <si>
    <t>KF2 5000-040</t>
  </si>
  <si>
    <t>KF2 5000-041</t>
  </si>
  <si>
    <t>KF2 5000-042</t>
  </si>
  <si>
    <t>KF2 5000-043</t>
  </si>
  <si>
    <t>KF2 5000-044</t>
  </si>
  <si>
    <t>KF2 5000-045</t>
  </si>
  <si>
    <t>KF2 5000-046</t>
  </si>
  <si>
    <t>KF2 5000-047</t>
  </si>
  <si>
    <t>KF2 5000-048</t>
  </si>
  <si>
    <t>KF2 5000-049</t>
  </si>
  <si>
    <t>KF2 5000-050</t>
  </si>
  <si>
    <t>KF2 5000-051</t>
  </si>
  <si>
    <t>KF2 5000-052</t>
  </si>
  <si>
    <t>KF2 5000-053</t>
  </si>
  <si>
    <t>KF2 5000-054</t>
  </si>
  <si>
    <t>KF2 5000-055</t>
  </si>
  <si>
    <t>KF2 5000-056</t>
  </si>
  <si>
    <t>KF2 5000-057</t>
  </si>
  <si>
    <t>KF2 5000-058</t>
  </si>
  <si>
    <t>KF2 5000-059</t>
  </si>
  <si>
    <t>KF2 5000-060</t>
  </si>
  <si>
    <t>KF2 5000-061</t>
  </si>
  <si>
    <t>KF2 5000-062</t>
  </si>
  <si>
    <t>KF2 5000-063</t>
  </si>
  <si>
    <t>KF2 5000-064</t>
  </si>
  <si>
    <t>KF2 5000-065</t>
  </si>
  <si>
    <t>KF2 5000-066</t>
  </si>
  <si>
    <t>KF2 5000-067</t>
  </si>
  <si>
    <t>KF2 5000-068</t>
  </si>
  <si>
    <t>KF2 5000-069</t>
  </si>
  <si>
    <t>KF2 5000-070</t>
  </si>
  <si>
    <t>KF2 5000-071</t>
  </si>
  <si>
    <t>KF2 5000-072</t>
  </si>
  <si>
    <t>KF2 5000-073</t>
  </si>
  <si>
    <t>KF2 5000-074</t>
  </si>
  <si>
    <t>KF2 5000-075</t>
  </si>
  <si>
    <t>KF2 5000-076</t>
  </si>
  <si>
    <t>KF2 5000-077</t>
  </si>
  <si>
    <t>KF2 5000-078</t>
  </si>
  <si>
    <t>KF2 5000-079</t>
  </si>
  <si>
    <t>KF2 5000-080</t>
  </si>
  <si>
    <t>KF2 5000-081</t>
  </si>
  <si>
    <t>KF2 5000-082</t>
  </si>
  <si>
    <t>KF2 5000-083</t>
  </si>
  <si>
    <t>KF2 5000-084</t>
  </si>
  <si>
    <t>KF2 5000-085</t>
  </si>
  <si>
    <t>KF2 5000-086</t>
  </si>
  <si>
    <t>KF2 5000-087</t>
  </si>
  <si>
    <t>KF2 5000-088</t>
  </si>
  <si>
    <t>KF2 5000-089</t>
  </si>
  <si>
    <t>KF2 5000-090</t>
  </si>
  <si>
    <t>KF2 5000-091</t>
  </si>
  <si>
    <t>KF2 5000-092</t>
  </si>
  <si>
    <t>KF2 5000-093</t>
  </si>
  <si>
    <t>KF2 5000-094</t>
  </si>
  <si>
    <t>KF2 5000-095</t>
  </si>
  <si>
    <t>KF2 5000-096</t>
  </si>
  <si>
    <t>KF2 5000-097</t>
  </si>
  <si>
    <t>KF2 5000-098</t>
  </si>
  <si>
    <t>KF2 5000-099</t>
  </si>
  <si>
    <t>KF2 5000-100</t>
  </si>
  <si>
    <t>KF2 5000-101</t>
  </si>
  <si>
    <t>KF2 5000-102</t>
  </si>
  <si>
    <t>KF2 5000-103</t>
  </si>
  <si>
    <t>KF2 5000-104</t>
  </si>
  <si>
    <t>KF2 5000-105</t>
  </si>
  <si>
    <t>KF2 5000-106</t>
  </si>
  <si>
    <t>KF2 5000-107</t>
  </si>
  <si>
    <t>KF2 5000-108</t>
  </si>
  <si>
    <t>KF2 5000-109</t>
  </si>
  <si>
    <t>KF2 5000-110</t>
  </si>
  <si>
    <t>KF2 5000-111</t>
  </si>
  <si>
    <t>KF2 5000-112</t>
  </si>
  <si>
    <t>KF2 5000-113</t>
  </si>
  <si>
    <t>KF2 5000-114</t>
  </si>
  <si>
    <t>KF2 5000-115</t>
  </si>
  <si>
    <t>KF2 5000-116</t>
  </si>
  <si>
    <t>KF2 5000-117</t>
  </si>
  <si>
    <t>KF2 5000-118</t>
  </si>
  <si>
    <t>KF2 5000-119</t>
  </si>
  <si>
    <t>KF2 5000-120</t>
  </si>
  <si>
    <t>KF2 5000-121</t>
  </si>
  <si>
    <t>KF2 5000-122</t>
  </si>
  <si>
    <t>KF2 5000-123</t>
  </si>
  <si>
    <t>KF2 5000-124</t>
  </si>
  <si>
    <t>KF2 5000-125</t>
  </si>
  <si>
    <t>KF2 5000-126</t>
  </si>
  <si>
    <t>KF2 5000-127</t>
  </si>
  <si>
    <t>KF2 5000-128</t>
  </si>
  <si>
    <t>KF2 5000-129</t>
  </si>
  <si>
    <t>KF2 5000-130</t>
  </si>
  <si>
    <t>KF2 5000-131</t>
  </si>
  <si>
    <t>KF2 5000-132</t>
  </si>
  <si>
    <t>KF2 5000-133</t>
  </si>
  <si>
    <t>KF2 5000-134</t>
  </si>
  <si>
    <t>KF2 5000-135</t>
  </si>
  <si>
    <t>KF2 5000-136</t>
  </si>
  <si>
    <t>KF2 5000-137</t>
  </si>
  <si>
    <t>KF2 5000-138</t>
  </si>
  <si>
    <t>KF2 5000-139</t>
  </si>
  <si>
    <t>KF2 5000-140</t>
  </si>
  <si>
    <t>KF2 5000-141</t>
  </si>
  <si>
    <t>KF2 5000-142</t>
  </si>
  <si>
    <t>KF2 5000-143</t>
  </si>
  <si>
    <t>KF2 5000-144</t>
  </si>
  <si>
    <t>KF2 5000-145</t>
  </si>
  <si>
    <t>KF2 5000-146</t>
  </si>
  <si>
    <t>KF2 5000-147</t>
  </si>
  <si>
    <t>KF2 5000-148</t>
  </si>
  <si>
    <t>KF2 5000-149</t>
  </si>
  <si>
    <t>KF2 5000-150</t>
  </si>
  <si>
    <t>KF2 5000-151</t>
  </si>
  <si>
    <t>KF2 5000-152</t>
  </si>
  <si>
    <t>KF2 5000-153</t>
  </si>
  <si>
    <t>KF2 5000-154</t>
  </si>
  <si>
    <t>KF2 5000-155</t>
  </si>
  <si>
    <t>KF2 5000-156</t>
  </si>
  <si>
    <t>KF2 5000-157</t>
  </si>
  <si>
    <t>KF2 5000-158</t>
  </si>
  <si>
    <t>KF2 5000-159</t>
  </si>
  <si>
    <t>KF2 5000-160</t>
  </si>
  <si>
    <t>KF2 7500-010</t>
  </si>
  <si>
    <t>KF2 7500-011</t>
  </si>
  <si>
    <t>KF2 7500-012</t>
  </si>
  <si>
    <t>KF2 7500-013</t>
  </si>
  <si>
    <t>KF2 7500-014</t>
  </si>
  <si>
    <t>KF2 7500-015</t>
  </si>
  <si>
    <t>KF2 7500-016</t>
  </si>
  <si>
    <t>KF2 7500-017</t>
  </si>
  <si>
    <t>KF2 7500-018</t>
  </si>
  <si>
    <t>KF2 7500-019</t>
  </si>
  <si>
    <t>KF2 7500-020</t>
  </si>
  <si>
    <t>KF2 7500-021</t>
  </si>
  <si>
    <t>KF2 7500-022</t>
  </si>
  <si>
    <t>KF2 7500-023</t>
  </si>
  <si>
    <t>KF2 7500-024</t>
  </si>
  <si>
    <t>KF2 7500-025</t>
  </si>
  <si>
    <t>KF2 7500-026</t>
  </si>
  <si>
    <t>KF2 7500-027</t>
  </si>
  <si>
    <t>KF2 7500-028</t>
  </si>
  <si>
    <t>KF2 7500-029</t>
  </si>
  <si>
    <t>KF2 7500-030</t>
  </si>
  <si>
    <t>KF2 7500-031</t>
  </si>
  <si>
    <t>KF2 7500-032</t>
  </si>
  <si>
    <t>KF2 7500-033</t>
  </si>
  <si>
    <t>KF2 7500-034</t>
  </si>
  <si>
    <t>KF2 7500-035</t>
  </si>
  <si>
    <t>KF2 7500-036</t>
  </si>
  <si>
    <t>KF2 7500-037</t>
  </si>
  <si>
    <t>KF2 7500-038</t>
  </si>
  <si>
    <t>KF2 7500-039</t>
  </si>
  <si>
    <t>KF2 7500-040</t>
  </si>
  <si>
    <t>KF2 7500-041</t>
  </si>
  <si>
    <t>KF2 7500-042</t>
  </si>
  <si>
    <t>KF2 7500-043</t>
  </si>
  <si>
    <t>KF2 7500-044</t>
  </si>
  <si>
    <t>KF2 7500-045</t>
  </si>
  <si>
    <t>KF2 7500-046</t>
  </si>
  <si>
    <t>KF2 7500-047</t>
  </si>
  <si>
    <t>KF2 7500-048</t>
  </si>
  <si>
    <t>KF2 7500-049</t>
  </si>
  <si>
    <t>KF2 7500-050</t>
  </si>
  <si>
    <t>KF2 7500-051</t>
  </si>
  <si>
    <t>KF2 7500-052</t>
  </si>
  <si>
    <t>KF2 7500-053</t>
  </si>
  <si>
    <t>KF2 7500-054</t>
  </si>
  <si>
    <t>KF2 7500-055</t>
  </si>
  <si>
    <t>KF2 7500-056</t>
  </si>
  <si>
    <t>KF2 7500-057</t>
  </si>
  <si>
    <t>KF2 7500-058</t>
  </si>
  <si>
    <t>KF2 7500-059</t>
  </si>
  <si>
    <t>KF2 7500-060</t>
  </si>
  <si>
    <t>KF2 7500-061</t>
  </si>
  <si>
    <t>KF2 7500-062</t>
  </si>
  <si>
    <t>KF2 7500-063</t>
  </si>
  <si>
    <t>KF2 7500-064</t>
  </si>
  <si>
    <t>KF2 7500-065</t>
  </si>
  <si>
    <t>KF2 7500-066</t>
  </si>
  <si>
    <t>KF2 7500-067</t>
  </si>
  <si>
    <t>KF2 7500-068</t>
  </si>
  <si>
    <t>KF2 7500-069</t>
  </si>
  <si>
    <t>KF2 7500-070</t>
  </si>
  <si>
    <t>KF2 7500-071</t>
  </si>
  <si>
    <t>KF2 7500-072</t>
  </si>
  <si>
    <t>KF2 7500-073</t>
  </si>
  <si>
    <t>KF2 7500-074</t>
  </si>
  <si>
    <t>KF2 7500-075</t>
  </si>
  <si>
    <t>KF2 7500-076</t>
  </si>
  <si>
    <t>KF2 7500-077</t>
  </si>
  <si>
    <t>KF2 7500-078</t>
  </si>
  <si>
    <t>KF2 7500-079</t>
  </si>
  <si>
    <t>KF2 7500-080</t>
  </si>
  <si>
    <t>KF2 7500-081</t>
  </si>
  <si>
    <t>KF2 7500-082</t>
  </si>
  <si>
    <t>KF2 7500-083</t>
  </si>
  <si>
    <t>KF2 7500-084</t>
  </si>
  <si>
    <t>KF2 7500-085</t>
  </si>
  <si>
    <t>KF2 7500-086</t>
  </si>
  <si>
    <t>KF2 7500-087</t>
  </si>
  <si>
    <t>KF2 7500-088</t>
  </si>
  <si>
    <t>KF2 7500-089</t>
  </si>
  <si>
    <t>KF2 7500-090</t>
  </si>
  <si>
    <t>KF2 7500-091</t>
  </si>
  <si>
    <t>KF2 7500-092</t>
  </si>
  <si>
    <t>KF2 7500-093</t>
  </si>
  <si>
    <t>KF2 7500-094</t>
  </si>
  <si>
    <t>KF2 7500-095</t>
  </si>
  <si>
    <t>KF2 7500-096</t>
  </si>
  <si>
    <t>KF2 7500-097</t>
  </si>
  <si>
    <t>KF2 7500-098</t>
  </si>
  <si>
    <t>KF2 7500-099</t>
  </si>
  <si>
    <t>KF2 7500-100</t>
  </si>
  <si>
    <t>KF2 7500-101</t>
  </si>
  <si>
    <t>KF2 7500-102</t>
  </si>
  <si>
    <t>KF2 7500-103</t>
  </si>
  <si>
    <t>KF2 7500-104</t>
  </si>
  <si>
    <t>KF2 7500-105</t>
  </si>
  <si>
    <t>KF2 7500-106</t>
  </si>
  <si>
    <t>KF2 7500-107</t>
  </si>
  <si>
    <t>KF2 7500-108</t>
  </si>
  <si>
    <t>KF2 7500-109</t>
  </si>
  <si>
    <t>KF2 7500-110</t>
  </si>
  <si>
    <t>KF2 7500-111</t>
  </si>
  <si>
    <t>KF2 7500-112</t>
  </si>
  <si>
    <t>KF2 7500-113</t>
  </si>
  <si>
    <t>KF2 7500-114</t>
  </si>
  <si>
    <t>KF2 7500-115</t>
  </si>
  <si>
    <t>KF2 7500-116</t>
  </si>
  <si>
    <t>KF2 7500-117</t>
  </si>
  <si>
    <t>KF2 7500-118</t>
  </si>
  <si>
    <t>KF2 7500-119</t>
  </si>
  <si>
    <t>KF2 7500-120</t>
  </si>
  <si>
    <t>KF2 7500-121</t>
  </si>
  <si>
    <t>KF2 7500-122</t>
  </si>
  <si>
    <t>KF2 7500-123</t>
  </si>
  <si>
    <t>KF2 7500-124</t>
  </si>
  <si>
    <t>KF2 7500-125</t>
  </si>
  <si>
    <t>KF2 7500-126</t>
  </si>
  <si>
    <t>KF2 7500-127</t>
  </si>
  <si>
    <t>KF2 7500-128</t>
  </si>
  <si>
    <t>KF2 7500-129</t>
  </si>
  <si>
    <t>KF2 7500-130</t>
  </si>
  <si>
    <t>KF2 7500-131</t>
  </si>
  <si>
    <t>KF2 7500-132</t>
  </si>
  <si>
    <t>KF2 7500-133</t>
  </si>
  <si>
    <t>KF2 7500-134</t>
  </si>
  <si>
    <t>KF2 7500-135</t>
  </si>
  <si>
    <t>KF2 7500-136</t>
  </si>
  <si>
    <t>KF2 7500-137</t>
  </si>
  <si>
    <t>KF2 7500-138</t>
  </si>
  <si>
    <t>KF2 7500-139</t>
  </si>
  <si>
    <t>KF2 7500-140</t>
  </si>
  <si>
    <t>KF2 7500-141</t>
  </si>
  <si>
    <t>KF2 7500-142</t>
  </si>
  <si>
    <t>KF2 7500-143</t>
  </si>
  <si>
    <t>KF2 7500-144</t>
  </si>
  <si>
    <t>KF2 7500-145</t>
  </si>
  <si>
    <t>KF2 7500-146</t>
  </si>
  <si>
    <t>KF2 7500-147</t>
  </si>
  <si>
    <t>KF2 7500-148</t>
  </si>
  <si>
    <t>KF2 7500-149</t>
  </si>
  <si>
    <t>KF2 7500-150</t>
  </si>
  <si>
    <t>KF2 7500-151</t>
  </si>
  <si>
    <t>KF2 7500-152</t>
  </si>
  <si>
    <t>KF2 7500-153</t>
  </si>
  <si>
    <t>KF2 7500-154</t>
  </si>
  <si>
    <t>KF2 7500-155</t>
  </si>
  <si>
    <t>KF2 7500-156</t>
  </si>
  <si>
    <t>KF2 7500-157</t>
  </si>
  <si>
    <t>KF2 7500-158</t>
  </si>
  <si>
    <t>KF2 7500-159</t>
  </si>
  <si>
    <t>KF2 7500-160</t>
  </si>
  <si>
    <t>Piston Rod Diameter</t>
  </si>
  <si>
    <t>N</t>
  </si>
  <si>
    <t>Nm</t>
  </si>
  <si>
    <t>Quantity Listbox</t>
  </si>
  <si>
    <t>Strokes List</t>
  </si>
  <si>
    <t>User_Used_Strokelength</t>
  </si>
  <si>
    <t>Ändring</t>
  </si>
  <si>
    <t>Input från annan flik</t>
  </si>
  <si>
    <t>Virtuell slagvolym</t>
  </si>
  <si>
    <t>Fi</t>
  </si>
  <si>
    <t>Initialkraft vid 20 °C</t>
  </si>
  <si>
    <t>Kurva</t>
  </si>
  <si>
    <t>Iso t kraft per fj</t>
  </si>
  <si>
    <t>Fs</t>
  </si>
  <si>
    <t>Detta är isoterm kraftökning</t>
  </si>
  <si>
    <t>Slag (mm)</t>
  </si>
  <si>
    <t>Virtuell volym</t>
  </si>
  <si>
    <t>Vi / Vf</t>
  </si>
  <si>
    <t>(Vi / Vf)^kappa</t>
  </si>
  <si>
    <t>kN eller lbf</t>
  </si>
  <si>
    <t>Isothermal force at 20 °C</t>
  </si>
  <si>
    <t>Isothermal force at estimated running temperature</t>
  </si>
  <si>
    <t>Polytrop kraft per fjäder</t>
  </si>
  <si>
    <t>Polytropic force at 20 °C</t>
  </si>
  <si>
    <t>Polytropic force at estimated running temperature</t>
  </si>
  <si>
    <t>Driftstemperatur</t>
  </si>
  <si>
    <t>slagl</t>
  </si>
  <si>
    <t>Utnyttjad slagl</t>
  </si>
  <si>
    <t>Använd slaglängd ev reducerad till max</t>
  </si>
  <si>
    <t>Medel</t>
  </si>
  <si>
    <t>utnyttjad slagl mm</t>
  </si>
  <si>
    <t>Antal fjädrar</t>
  </si>
  <si>
    <t>st</t>
  </si>
  <si>
    <t>Status tryckenhet</t>
  </si>
  <si>
    <t>ktemp (273+T)/(237+20)</t>
  </si>
  <si>
    <t>Status kraftenhet</t>
  </si>
  <si>
    <t>tryck från control</t>
  </si>
  <si>
    <t>ger i bar</t>
  </si>
  <si>
    <t>Fjädertryck ur tabell</t>
  </si>
  <si>
    <t>Isotermt är Vi/Vf=(Ff/Fi)</t>
  </si>
  <si>
    <t>Vi/Vf = (Ff/Fi)^(1/1,4)</t>
  </si>
  <si>
    <t>Ff/Fi = Vi/Vf = k</t>
  </si>
  <si>
    <t>l = k*s / (k-1)</t>
  </si>
  <si>
    <t>Virtuell volym, Viv</t>
  </si>
  <si>
    <t>Virtuell slutvolym, Vfv</t>
  </si>
  <si>
    <t>Slutvolym, utnyttjad slagl</t>
  </si>
  <si>
    <t>Virtuell slutvolym för utnyttjad slagl, Vfvny</t>
  </si>
  <si>
    <t>nytt Viny / Vfny</t>
  </si>
  <si>
    <t>kappa</t>
  </si>
  <si>
    <t>kraft och tryckfaktor  (Viny / Vfny)^kappa</t>
  </si>
  <si>
    <t>Detta ska tas multiplicerat med Fi eller Pi</t>
  </si>
  <si>
    <t>ger sluttryck</t>
  </si>
  <si>
    <t>Fyllutnyttande</t>
  </si>
  <si>
    <t>Ger initialkraft</t>
  </si>
  <si>
    <t>Ger initailalkraft totalt</t>
  </si>
  <si>
    <t>ger slutkraft per fjäder</t>
  </si>
  <si>
    <t>Isotermt</t>
  </si>
  <si>
    <t>Ger slutkraft totalt</t>
  </si>
  <si>
    <t>Utnyttjad slaglängd</t>
  </si>
  <si>
    <t>Felmeddelande om för lång slaglängd</t>
  </si>
  <si>
    <t>Utput till annan flik</t>
  </si>
  <si>
    <t>Polytrop kurva</t>
  </si>
  <si>
    <t xml:space="preserve">Isothermal </t>
  </si>
  <si>
    <t>Polytropic</t>
  </si>
  <si>
    <t>Förskjutning för polytropa värden</t>
  </si>
  <si>
    <t>kW</t>
  </si>
  <si>
    <t>Vald KF Skrivs ut på rad 25</t>
  </si>
  <si>
    <t>Cycle Time</t>
  </si>
  <si>
    <t>Return Time</t>
  </si>
  <si>
    <t>Locked Spring</t>
  </si>
  <si>
    <t>s</t>
  </si>
  <si>
    <t>Alfa</t>
  </si>
  <si>
    <t>Excenter Stroke</t>
  </si>
  <si>
    <t>r crank_radius</t>
  </si>
  <si>
    <t>l rod_length</t>
  </si>
  <si>
    <t>Period tid</t>
  </si>
  <si>
    <t>slaglängd</t>
  </si>
  <si>
    <t>Returnspeed</t>
  </si>
  <si>
    <t>Returtid</t>
  </si>
  <si>
    <t>return</t>
  </si>
  <si>
    <t>Press Stroke</t>
  </si>
  <si>
    <t>Rod Length</t>
  </si>
  <si>
    <t>KF Spring locking time</t>
  </si>
  <si>
    <t>Adjusting Stroke Length</t>
  </si>
  <si>
    <t>KF Spring</t>
  </si>
  <si>
    <t>tid (s)</t>
  </si>
  <si>
    <t>Part of stroke</t>
  </si>
  <si>
    <t>v</t>
  </si>
  <si>
    <t>stroke (mm)</t>
  </si>
  <si>
    <t>Press velocity at impact</t>
  </si>
  <si>
    <t>Impact</t>
  </si>
  <si>
    <t>Max Press speed</t>
  </si>
  <si>
    <t>Max Press Speed</t>
  </si>
  <si>
    <t>Gas Spring Impact Press Speed</t>
  </si>
  <si>
    <t>Tube_Diameter</t>
  </si>
  <si>
    <t>Tube Diameter</t>
  </si>
  <si>
    <t>Total Work</t>
  </si>
  <si>
    <t>[Nm]</t>
  </si>
  <si>
    <t>mm/min</t>
  </si>
  <si>
    <t>(-)</t>
  </si>
  <si>
    <t>Charging Pressure Utilisation</t>
  </si>
  <si>
    <t>Max Heat factors from Catalogue (150 bar)</t>
  </si>
  <si>
    <t>Max Heat Factors for User_Used Charge pressue</t>
  </si>
  <si>
    <t>Force_Size</t>
  </si>
  <si>
    <t>Utilisation</t>
  </si>
  <si>
    <t>Max Heat Factor [mm/min]</t>
  </si>
  <si>
    <t>Work / Stroke at 20 C</t>
  </si>
  <si>
    <t>Work / Stroke at 80 C</t>
  </si>
  <si>
    <t>Seconds per stroke</t>
  </si>
  <si>
    <t>W [Nm/s]</t>
  </si>
  <si>
    <t>Power at 20 C</t>
  </si>
  <si>
    <t>Power at 80 C</t>
  </si>
  <si>
    <t>Total Power</t>
  </si>
  <si>
    <t>[mm/min]</t>
  </si>
  <si>
    <t>Max Power kW</t>
  </si>
  <si>
    <t>No cooling</t>
  </si>
  <si>
    <t>External Cooling Need</t>
  </si>
  <si>
    <t>Note:</t>
  </si>
  <si>
    <t>Add more KF2 springs</t>
  </si>
  <si>
    <t>Use larger KF2 springs</t>
  </si>
  <si>
    <t>Min External Cooling per spring</t>
  </si>
  <si>
    <t>Voil</t>
  </si>
  <si>
    <t>Vov</t>
  </si>
  <si>
    <t>Vne-Voil</t>
  </si>
  <si>
    <t>Dks</t>
  </si>
  <si>
    <t>Dt</t>
  </si>
  <si>
    <t>Dksi</t>
  </si>
  <si>
    <t>Använt slag</t>
  </si>
  <si>
    <t>Aov</t>
  </si>
  <si>
    <t>Ane</t>
  </si>
  <si>
    <t>Ratio</t>
  </si>
  <si>
    <t>Del av slag</t>
  </si>
  <si>
    <t>Vne</t>
  </si>
  <si>
    <t>vv nedre volym utan olja</t>
  </si>
  <si>
    <t>vv övre volym</t>
  </si>
  <si>
    <t>Volymkvot</t>
  </si>
  <si>
    <t>vv 75% Olja</t>
  </si>
  <si>
    <t>vv 25% Olja</t>
  </si>
  <si>
    <t>vv 100% Olja</t>
  </si>
  <si>
    <t>vv 50% Olja</t>
  </si>
  <si>
    <t>Formel</t>
  </si>
  <si>
    <t>vv nedre volym</t>
  </si>
  <si>
    <t>Rang</t>
  </si>
  <si>
    <t>Code*Flag</t>
  </si>
  <si>
    <t>Flag</t>
  </si>
  <si>
    <t>Code</t>
  </si>
  <si>
    <t>Selection Summary</t>
  </si>
  <si>
    <t>Cooler</t>
  </si>
  <si>
    <t>Order No.</t>
  </si>
  <si>
    <t>Adjusted stroke</t>
  </si>
  <si>
    <t>-NC</t>
  </si>
  <si>
    <t>-CJ</t>
  </si>
  <si>
    <t>Quantity</t>
  </si>
  <si>
    <t>Cell-länk ListBox_Cooling</t>
  </si>
  <si>
    <t>External Cooling need</t>
  </si>
  <si>
    <t>Kw</t>
  </si>
  <si>
    <t>External cooling per spring</t>
  </si>
  <si>
    <t>kw</t>
  </si>
  <si>
    <t>Cooling Altenatives</t>
  </si>
  <si>
    <t>Antal Rader</t>
  </si>
  <si>
    <t>ListBox_Cooling</t>
  </si>
  <si>
    <t>Antal</t>
  </si>
  <si>
    <t>Antal Rundat</t>
  </si>
  <si>
    <t>Liquid Cooler</t>
  </si>
  <si>
    <t>Heat Calculation</t>
  </si>
  <si>
    <t>Select KF Spring</t>
  </si>
  <si>
    <t>Select Cooling Alternative:</t>
  </si>
  <si>
    <t>KF1500</t>
  </si>
  <si>
    <t>KF3000</t>
  </si>
  <si>
    <t>KF5000</t>
  </si>
  <si>
    <t>KF7500</t>
  </si>
  <si>
    <t>Stroke</t>
  </si>
  <si>
    <t>Max Heatfactor without cooling OBS k och m ska tas från Figurer nedan</t>
  </si>
  <si>
    <t>Heat Data</t>
  </si>
  <si>
    <t>New Heat Data 20190830</t>
  </si>
  <si>
    <t>Max allowed temperature</t>
  </si>
  <si>
    <t>°C</t>
  </si>
  <si>
    <t>Reference temperature</t>
  </si>
  <si>
    <t>W/°C</t>
  </si>
  <si>
    <t>Temperature Reducing Factor</t>
  </si>
  <si>
    <t>Liquid cooling</t>
  </si>
  <si>
    <t>Max Heat Factor mm/min</t>
  </si>
  <si>
    <t>Surrounding temperature 2019-09-02</t>
  </si>
  <si>
    <t>Stroke Length depenende Heta Factor 2019-09-02</t>
  </si>
  <si>
    <t>Heat Data reduced</t>
  </si>
  <si>
    <t>Max Heatfactor without cooling catalogue</t>
  </si>
  <si>
    <t>2019-09-02 Temp reducing</t>
  </si>
  <si>
    <t>Nitro Cooler message</t>
  </si>
  <si>
    <t>Nytt 190903</t>
  </si>
  <si>
    <t>Nitro Cooler Capacity</t>
  </si>
  <si>
    <t>Liquid Cooler 10kW Capacity</t>
  </si>
  <si>
    <t>Liquid Cooler 25kW Capacity</t>
  </si>
  <si>
    <t>10 kW Liquid Cooler</t>
  </si>
  <si>
    <t>25kW Liquid Cooler</t>
  </si>
  <si>
    <t>by considering one of the following:</t>
  </si>
  <si>
    <t>For some applications, the need for cooling can be eliminated</t>
  </si>
  <si>
    <t xml:space="preserve">speed of the piston rod decreases by approximately 40% </t>
  </si>
  <si>
    <t>Important! When using the Nitro Cooler, the return stroke</t>
  </si>
  <si>
    <t>Gas Spring</t>
  </si>
  <si>
    <t>KF2 3000-006</t>
  </si>
  <si>
    <t>KF2 3000-007</t>
  </si>
  <si>
    <t>KF2 3000-008</t>
  </si>
  <si>
    <t>KF2 3000-009</t>
  </si>
  <si>
    <t>KF2 1500-005</t>
  </si>
  <si>
    <t>KF2 1500-006</t>
  </si>
  <si>
    <t>KF2 1500-007</t>
  </si>
  <si>
    <t>KF2 1500-008</t>
  </si>
  <si>
    <t>KF2 1500-009</t>
  </si>
  <si>
    <t>KF2 5000-006</t>
  </si>
  <si>
    <t>KF2 5000-007</t>
  </si>
  <si>
    <t>KF2 5000-008</t>
  </si>
  <si>
    <t>KF2 5000-009</t>
  </si>
  <si>
    <t>KF2 7500-008</t>
  </si>
  <si>
    <t>KF2 7500-009</t>
  </si>
  <si>
    <t>KF Spring Motion</t>
  </si>
  <si>
    <t>Surrounding Temperature (Catalog values based on 20°C)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</si>
</sst>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kr&quot;_-;\-* #,##0.00\ &quot;kr&quot;_-;_-* &quot;-&quot;??\ &quot;kr&quot;_-;_-@_-"/>
    <numFmt numFmtId="164" formatCode="_-* #,##0.00\ _k_r_-;\-* #,##0.00\ _k_r_-;_-* &quot;-&quot;??\ _k_r_-;_-@_-"/>
    <numFmt numFmtId="165" formatCode="0.0"/>
    <numFmt numFmtId="166" formatCode="0.000"/>
    <numFmt numFmtId="167" formatCode="000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sz val="16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DA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4" fillId="0" borderId="0" applyNumberFormat="0" applyFill="0" applyBorder="0" applyAlignment="0" applyProtection="0"/>
    <xf numFmtId="0" fontId="9" fillId="0" borderId="0"/>
    <xf numFmtId="0" fontId="9" fillId="0" borderId="0"/>
    <xf numFmtId="0" fontId="2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2" fillId="13" borderId="6" applyNumberFormat="0" applyAlignment="0" applyProtection="0"/>
  </cellStyleXfs>
  <cellXfs count="160">
    <xf numFmtId="0" fontId="0" fillId="0" borderId="0" xfId="0"/>
    <xf numFmtId="0" fontId="0" fillId="0" borderId="0" xfId="0" applyFill="1"/>
    <xf numFmtId="0" fontId="0" fillId="2" borderId="0" xfId="0" applyFill="1"/>
    <xf numFmtId="0" fontId="0" fillId="3" borderId="0" xfId="0" applyFill="1"/>
    <xf numFmtId="0" fontId="2" fillId="4" borderId="0" xfId="0" applyFont="1" applyFill="1" applyProtection="1">
      <protection hidden="1"/>
    </xf>
    <xf numFmtId="0" fontId="2" fillId="4" borderId="0" xfId="0" applyFont="1" applyFill="1" applyBorder="1" applyProtection="1">
      <protection hidden="1"/>
    </xf>
    <xf numFmtId="0" fontId="2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5" fillId="2" borderId="0" xfId="1" applyFont="1" applyFill="1" applyProtection="1">
      <protection locked="0"/>
    </xf>
    <xf numFmtId="0" fontId="0" fillId="2" borderId="0" xfId="0" applyFill="1" applyBorder="1"/>
    <xf numFmtId="0" fontId="0" fillId="0" borderId="0" xfId="0" applyFill="1" applyBorder="1"/>
    <xf numFmtId="0" fontId="6" fillId="2" borderId="0" xfId="0" applyFont="1" applyFill="1"/>
    <xf numFmtId="14" fontId="6" fillId="2" borderId="0" xfId="0" applyNumberFormat="1" applyFont="1" applyFill="1"/>
    <xf numFmtId="20" fontId="6" fillId="2" borderId="0" xfId="0" applyNumberFormat="1" applyFont="1" applyFill="1"/>
    <xf numFmtId="0" fontId="0" fillId="2" borderId="0" xfId="0" applyFill="1" applyAlignment="1">
      <alignment horizontal="left"/>
    </xf>
    <xf numFmtId="0" fontId="0" fillId="0" borderId="1" xfId="0" applyBorder="1"/>
    <xf numFmtId="0" fontId="0" fillId="2" borderId="2" xfId="0" applyFill="1" applyBorder="1"/>
    <xf numFmtId="0" fontId="7" fillId="2" borderId="2" xfId="0" applyFont="1" applyFill="1" applyBorder="1"/>
    <xf numFmtId="165" fontId="0" fillId="0" borderId="0" xfId="0" applyNumberFormat="1"/>
    <xf numFmtId="2" fontId="0" fillId="0" borderId="0" xfId="0" applyNumberFormat="1"/>
    <xf numFmtId="0" fontId="0" fillId="5" borderId="0" xfId="0" applyFill="1"/>
    <xf numFmtId="0" fontId="0" fillId="7" borderId="0" xfId="0" applyFill="1"/>
    <xf numFmtId="0" fontId="0" fillId="6" borderId="0" xfId="0" applyFill="1"/>
    <xf numFmtId="1" fontId="0" fillId="3" borderId="0" xfId="0" applyNumberFormat="1" applyFill="1"/>
    <xf numFmtId="0" fontId="0" fillId="3" borderId="0" xfId="0" quotePrefix="1" applyFill="1"/>
    <xf numFmtId="0" fontId="0" fillId="11" borderId="0" xfId="0" applyFill="1"/>
    <xf numFmtId="1" fontId="0" fillId="11" borderId="0" xfId="0" applyNumberFormat="1" applyFill="1"/>
    <xf numFmtId="0" fontId="0" fillId="11" borderId="0" xfId="0" quotePrefix="1" applyFill="1"/>
    <xf numFmtId="0" fontId="0" fillId="10" borderId="0" xfId="0" applyFill="1"/>
    <xf numFmtId="0" fontId="0" fillId="10" borderId="0" xfId="0" quotePrefix="1" applyFill="1"/>
    <xf numFmtId="1" fontId="0" fillId="10" borderId="0" xfId="0" applyNumberFormat="1" applyFill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" fontId="0" fillId="0" borderId="0" xfId="0" applyNumberFormat="1"/>
    <xf numFmtId="0" fontId="0" fillId="12" borderId="0" xfId="0" applyFill="1"/>
    <xf numFmtId="14" fontId="0" fillId="0" borderId="0" xfId="0" applyNumberFormat="1" applyFill="1"/>
    <xf numFmtId="2" fontId="0" fillId="7" borderId="0" xfId="0" applyNumberFormat="1" applyFill="1"/>
    <xf numFmtId="2" fontId="0" fillId="5" borderId="0" xfId="0" applyNumberFormat="1" applyFill="1"/>
    <xf numFmtId="2" fontId="0" fillId="6" borderId="0" xfId="0" applyNumberFormat="1" applyFill="1"/>
    <xf numFmtId="0" fontId="0" fillId="0" borderId="4" xfId="0" applyBorder="1"/>
    <xf numFmtId="0" fontId="0" fillId="0" borderId="5" xfId="0" applyBorder="1"/>
    <xf numFmtId="165" fontId="0" fillId="8" borderId="0" xfId="0" applyNumberFormat="1" applyFill="1"/>
    <xf numFmtId="0" fontId="0" fillId="12" borderId="0" xfId="0" applyFill="1" applyBorder="1"/>
    <xf numFmtId="0" fontId="1" fillId="0" borderId="0" xfId="0" applyFont="1" applyFill="1" applyBorder="1"/>
    <xf numFmtId="0" fontId="0" fillId="2" borderId="0" xfId="0" applyFill="1" applyBorder="1" applyAlignment="1">
      <alignment horizontal="right"/>
    </xf>
    <xf numFmtId="0" fontId="6" fillId="10" borderId="1" xfId="0" applyFont="1" applyFill="1" applyBorder="1"/>
    <xf numFmtId="0" fontId="0" fillId="10" borderId="1" xfId="0" applyFill="1" applyBorder="1"/>
    <xf numFmtId="0" fontId="11" fillId="2" borderId="0" xfId="0" applyFont="1" applyFill="1"/>
    <xf numFmtId="0" fontId="2" fillId="10" borderId="0" xfId="0" applyFont="1" applyFill="1" applyBorder="1" applyProtection="1">
      <protection hidden="1"/>
    </xf>
    <xf numFmtId="0" fontId="0" fillId="10" borderId="0" xfId="0" applyFill="1" applyBorder="1"/>
    <xf numFmtId="165" fontId="0" fillId="2" borderId="0" xfId="0" applyNumberFormat="1" applyFill="1" applyAlignment="1">
      <alignment horizontal="right"/>
    </xf>
    <xf numFmtId="0" fontId="8" fillId="10" borderId="0" xfId="0" applyFont="1" applyFill="1" applyBorder="1"/>
    <xf numFmtId="166" fontId="0" fillId="0" borderId="0" xfId="0" applyNumberFormat="1"/>
    <xf numFmtId="0" fontId="9" fillId="0" borderId="0" xfId="2"/>
    <xf numFmtId="0" fontId="0" fillId="0" borderId="0" xfId="0" applyAlignment="1">
      <alignment horizontal="right"/>
    </xf>
    <xf numFmtId="9" fontId="0" fillId="0" borderId="0" xfId="0" applyNumberFormat="1"/>
    <xf numFmtId="1" fontId="0" fillId="0" borderId="0" xfId="0" applyNumberFormat="1" applyFill="1"/>
    <xf numFmtId="166" fontId="0" fillId="0" borderId="0" xfId="0" applyNumberFormat="1" applyFill="1"/>
    <xf numFmtId="165" fontId="0" fillId="0" borderId="0" xfId="0" applyNumberFormat="1" applyFill="1"/>
    <xf numFmtId="0" fontId="12" fillId="0" borderId="0" xfId="8" applyFill="1" applyBorder="1"/>
    <xf numFmtId="10" fontId="0" fillId="0" borderId="0" xfId="0" applyNumberFormat="1"/>
    <xf numFmtId="2" fontId="0" fillId="10" borderId="0" xfId="0" applyNumberFormat="1" applyFill="1"/>
    <xf numFmtId="0" fontId="3" fillId="0" borderId="0" xfId="0" applyFont="1"/>
    <xf numFmtId="0" fontId="0" fillId="0" borderId="0" xfId="0" applyBorder="1"/>
    <xf numFmtId="0" fontId="6" fillId="2" borderId="2" xfId="0" applyFont="1" applyFill="1" applyBorder="1"/>
    <xf numFmtId="0" fontId="0" fillId="0" borderId="0" xfId="0" applyFill="1"/>
    <xf numFmtId="0" fontId="0" fillId="0" borderId="0" xfId="0" quotePrefix="1"/>
    <xf numFmtId="0" fontId="6" fillId="2" borderId="0" xfId="0" applyFont="1" applyFill="1" applyBorder="1"/>
    <xf numFmtId="0" fontId="0" fillId="0" borderId="0" xfId="0" applyProtection="1">
      <protection locked="0"/>
    </xf>
    <xf numFmtId="0" fontId="0" fillId="7" borderId="0" xfId="0" applyFill="1" applyProtection="1">
      <protection locked="0"/>
    </xf>
    <xf numFmtId="0" fontId="0" fillId="8" borderId="0" xfId="0" applyFill="1" applyProtection="1">
      <protection locked="0"/>
    </xf>
    <xf numFmtId="0" fontId="0" fillId="5" borderId="0" xfId="0" applyFill="1" applyProtection="1">
      <protection locked="0"/>
    </xf>
    <xf numFmtId="0" fontId="0" fillId="6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 applyBorder="1" applyProtection="1">
      <protection locked="0"/>
    </xf>
    <xf numFmtId="0" fontId="0" fillId="6" borderId="0" xfId="0" applyFill="1" applyProtection="1">
      <protection locked="0"/>
    </xf>
    <xf numFmtId="0" fontId="0" fillId="9" borderId="0" xfId="0" applyFill="1" applyProtection="1">
      <protection locked="0"/>
    </xf>
    <xf numFmtId="1" fontId="0" fillId="9" borderId="0" xfId="0" quotePrefix="1" applyNumberFormat="1" applyFill="1" applyProtection="1"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Fill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Alignment="1" applyProtection="1">
      <alignment horizontal="right" vertical="center"/>
      <protection locked="0"/>
    </xf>
    <xf numFmtId="2" fontId="0" fillId="0" borderId="0" xfId="0" applyNumberFormat="1" applyFill="1" applyProtection="1"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 applyProtection="1">
      <protection locked="0"/>
    </xf>
    <xf numFmtId="0" fontId="0" fillId="10" borderId="3" xfId="0" applyFill="1" applyBorder="1" applyAlignment="1" applyProtection="1">
      <alignment horizontal="right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left"/>
      <protection locked="0"/>
    </xf>
    <xf numFmtId="1" fontId="0" fillId="0" borderId="0" xfId="0" quotePrefix="1" applyNumberFormat="1" applyAlignment="1" applyProtection="1">
      <alignment horizontal="right"/>
      <protection locked="0"/>
    </xf>
    <xf numFmtId="2" fontId="0" fillId="2" borderId="0" xfId="0" applyNumberFormat="1" applyFill="1" applyProtection="1">
      <protection locked="0"/>
    </xf>
    <xf numFmtId="1" fontId="0" fillId="0" borderId="0" xfId="0" quotePrefix="1" applyNumberFormat="1" applyFill="1" applyAlignment="1" applyProtection="1">
      <alignment horizontal="righ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167" fontId="0" fillId="0" borderId="0" xfId="0" applyNumberFormat="1" applyFill="1" applyProtection="1">
      <protection locked="0"/>
    </xf>
    <xf numFmtId="1" fontId="0" fillId="0" borderId="0" xfId="0" applyNumberFormat="1" applyFill="1" applyAlignment="1" applyProtection="1">
      <alignment horizontal="right" vertical="center"/>
      <protection locked="0"/>
    </xf>
    <xf numFmtId="0" fontId="0" fillId="0" borderId="0" xfId="0" quotePrefix="1" applyFill="1" applyProtection="1">
      <protection locked="0"/>
    </xf>
    <xf numFmtId="1" fontId="0" fillId="0" borderId="0" xfId="0" applyNumberFormat="1" applyAlignment="1" applyProtection="1">
      <alignment horizontal="right"/>
      <protection locked="0"/>
    </xf>
    <xf numFmtId="166" fontId="0" fillId="5" borderId="0" xfId="0" applyNumberFormat="1" applyFill="1"/>
    <xf numFmtId="0" fontId="0" fillId="5" borderId="0" xfId="0" applyFill="1" applyAlignment="1">
      <alignment horizontal="center"/>
    </xf>
    <xf numFmtId="166" fontId="9" fillId="5" borderId="0" xfId="2" applyNumberFormat="1" applyFill="1" applyAlignment="1">
      <alignment horizontal="center"/>
    </xf>
    <xf numFmtId="9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0" fillId="5" borderId="0" xfId="0" applyFill="1" applyBorder="1"/>
    <xf numFmtId="0" fontId="3" fillId="0" borderId="12" xfId="0" applyFont="1" applyBorder="1"/>
    <xf numFmtId="0" fontId="3" fillId="0" borderId="0" xfId="0" applyFont="1" applyBorder="1"/>
    <xf numFmtId="0" fontId="0" fillId="5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9" fontId="0" fillId="5" borderId="0" xfId="0" applyNumberFormat="1" applyFill="1" applyBorder="1" applyAlignment="1">
      <alignment horizontal="center"/>
    </xf>
    <xf numFmtId="0" fontId="0" fillId="0" borderId="0" xfId="0" quotePrefix="1" applyBorder="1"/>
    <xf numFmtId="0" fontId="0" fillId="0" borderId="14" xfId="0" applyBorder="1"/>
    <xf numFmtId="0" fontId="0" fillId="0" borderId="2" xfId="0" applyBorder="1"/>
    <xf numFmtId="0" fontId="0" fillId="0" borderId="15" xfId="0" applyBorder="1"/>
    <xf numFmtId="0" fontId="0" fillId="0" borderId="7" xfId="0" applyBorder="1"/>
    <xf numFmtId="0" fontId="0" fillId="0" borderId="8" xfId="0" applyBorder="1"/>
    <xf numFmtId="0" fontId="0" fillId="2" borderId="3" xfId="0" applyFill="1" applyBorder="1"/>
    <xf numFmtId="166" fontId="0" fillId="5" borderId="0" xfId="0" applyNumberFormat="1" applyFill="1" applyBorder="1"/>
    <xf numFmtId="1" fontId="0" fillId="5" borderId="0" xfId="0" applyNumberFormat="1" applyFill="1" applyBorder="1"/>
    <xf numFmtId="0" fontId="0" fillId="2" borderId="9" xfId="0" applyFill="1" applyBorder="1"/>
    <xf numFmtId="0" fontId="0" fillId="2" borderId="11" xfId="0" applyFill="1" applyBorder="1"/>
    <xf numFmtId="1" fontId="0" fillId="0" borderId="12" xfId="0" applyNumberFormat="1" applyBorder="1"/>
    <xf numFmtId="1" fontId="0" fillId="0" borderId="13" xfId="0" applyNumberFormat="1" applyBorder="1"/>
    <xf numFmtId="0" fontId="0" fillId="0" borderId="3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0" fillId="0" borderId="8" xfId="0" applyFill="1" applyBorder="1" applyProtection="1">
      <protection locked="0"/>
    </xf>
    <xf numFmtId="0" fontId="0" fillId="14" borderId="0" xfId="0" applyFill="1" applyProtection="1">
      <protection locked="0"/>
    </xf>
    <xf numFmtId="0" fontId="0" fillId="10" borderId="0" xfId="0" applyFill="1" applyProtection="1">
      <protection hidden="1"/>
    </xf>
    <xf numFmtId="0" fontId="2" fillId="10" borderId="0" xfId="0" applyFont="1" applyFill="1" applyProtection="1">
      <protection hidden="1"/>
    </xf>
    <xf numFmtId="0" fontId="8" fillId="10" borderId="0" xfId="0" applyFont="1" applyFill="1"/>
    <xf numFmtId="0" fontId="2" fillId="2" borderId="0" xfId="0" applyFont="1" applyFill="1"/>
    <xf numFmtId="0" fontId="2" fillId="2" borderId="0" xfId="0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3" fillId="2" borderId="0" xfId="0" applyFont="1" applyFill="1"/>
    <xf numFmtId="0" fontId="2" fillId="10" borderId="1" xfId="0" applyFont="1" applyFill="1" applyBorder="1" applyAlignment="1" applyProtection="1">
      <alignment horizontal="right"/>
      <protection locked="0"/>
    </xf>
    <xf numFmtId="0" fontId="2" fillId="10" borderId="1" xfId="0" applyFont="1" applyFill="1" applyBorder="1" applyProtection="1">
      <protection locked="0"/>
    </xf>
    <xf numFmtId="2" fontId="2" fillId="2" borderId="0" xfId="0" applyNumberFormat="1" applyFont="1" applyFill="1"/>
    <xf numFmtId="0" fontId="2" fillId="2" borderId="12" xfId="0" applyFont="1" applyFill="1" applyBorder="1"/>
    <xf numFmtId="0" fontId="2" fillId="2" borderId="0" xfId="0" applyFont="1" applyFill="1" applyBorder="1"/>
    <xf numFmtId="0" fontId="13" fillId="2" borderId="0" xfId="0" applyFont="1" applyFill="1" applyBorder="1" applyAlignment="1">
      <alignment horizontal="right"/>
    </xf>
    <xf numFmtId="0" fontId="13" fillId="2" borderId="0" xfId="0" applyFont="1" applyFill="1" applyBorder="1"/>
    <xf numFmtId="0" fontId="13" fillId="2" borderId="12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" fontId="2" fillId="2" borderId="0" xfId="0" applyNumberFormat="1" applyFont="1" applyFill="1" applyBorder="1"/>
    <xf numFmtId="2" fontId="2" fillId="2" borderId="0" xfId="0" applyNumberFormat="1" applyFont="1" applyFill="1" applyBorder="1" applyAlignment="1">
      <alignment horizontal="right"/>
    </xf>
    <xf numFmtId="9" fontId="2" fillId="2" borderId="0" xfId="0" applyNumberFormat="1" applyFont="1" applyFill="1" applyBorder="1" applyAlignment="1">
      <alignment horizontal="right"/>
    </xf>
    <xf numFmtId="9" fontId="14" fillId="2" borderId="0" xfId="0" applyNumberFormat="1" applyFont="1" applyFill="1" applyBorder="1" applyAlignment="1">
      <alignment horizontal="center"/>
    </xf>
    <xf numFmtId="0" fontId="2" fillId="2" borderId="12" xfId="0" applyFont="1" applyFill="1" applyBorder="1" applyAlignment="1">
      <alignment horizontal="left"/>
    </xf>
    <xf numFmtId="165" fontId="2" fillId="2" borderId="0" xfId="0" applyNumberFormat="1" applyFont="1" applyFill="1" applyBorder="1"/>
    <xf numFmtId="2" fontId="2" fillId="2" borderId="0" xfId="0" applyNumberFormat="1" applyFont="1" applyFill="1" applyBorder="1"/>
    <xf numFmtId="0" fontId="15" fillId="2" borderId="0" xfId="0" applyFont="1" applyFill="1"/>
    <xf numFmtId="0" fontId="9" fillId="2" borderId="0" xfId="0" applyFont="1" applyFill="1"/>
    <xf numFmtId="0" fontId="9" fillId="9" borderId="0" xfId="0" applyFont="1" applyFill="1" applyBorder="1"/>
    <xf numFmtId="0" fontId="9" fillId="2" borderId="0" xfId="0" applyFont="1" applyFill="1" applyBorder="1"/>
    <xf numFmtId="0" fontId="9" fillId="10" borderId="1" xfId="0" applyFont="1" applyFill="1" applyBorder="1" applyProtection="1">
      <protection locked="0"/>
    </xf>
    <xf numFmtId="0" fontId="0" fillId="5" borderId="0" xfId="0" quotePrefix="1" applyFill="1"/>
    <xf numFmtId="1" fontId="0" fillId="5" borderId="0" xfId="0" applyNumberFormat="1" applyFill="1"/>
    <xf numFmtId="1" fontId="0" fillId="10" borderId="0" xfId="0" quotePrefix="1" applyNumberFormat="1" applyFill="1"/>
  </cellXfs>
  <cellStyles count="9">
    <cellStyle name="Beräkning" xfId="8" builtinId="22"/>
    <cellStyle name="Hyperlänk" xfId="1" builtinId="8"/>
    <cellStyle name="Normal" xfId="0" builtinId="0"/>
    <cellStyle name="Normal 2" xfId="2" xr:uid="{00000000-0005-0000-0000-000003000000}"/>
    <cellStyle name="Normal 2 2" xfId="3" xr:uid="{00000000-0005-0000-0000-000004000000}"/>
    <cellStyle name="Normal 3" xfId="4" xr:uid="{00000000-0005-0000-0000-000005000000}"/>
    <cellStyle name="Procent 2" xfId="5" xr:uid="{00000000-0005-0000-0000-000006000000}"/>
    <cellStyle name="Tusental 2" xfId="6" xr:uid="{00000000-0005-0000-0000-000007000000}"/>
    <cellStyle name="Valuta 2" xfId="7" xr:uid="{00000000-0005-0000-0000-000008000000}"/>
  </cellStyles>
  <dxfs count="4">
    <dxf>
      <font>
        <b/>
        <i val="0"/>
        <color rgb="FFFF0000"/>
      </font>
    </dxf>
    <dxf>
      <font>
        <b/>
        <i val="0"/>
        <color rgb="FFFF0000"/>
      </font>
    </dxf>
    <dxf>
      <font>
        <color rgb="FF006100"/>
      </font>
      <fill>
        <patternFill patternType="solid">
          <bgColor theme="0" tint="-0.14996795556505021"/>
        </patternFill>
      </fill>
    </dxf>
    <dxf>
      <font>
        <color theme="0" tint="-0.14996795556505021"/>
      </font>
    </dxf>
  </dxfs>
  <tableStyles count="0" defaultTableStyle="TableStyleMedium2" defaultPivotStyle="PivotStyleLight16"/>
  <colors>
    <mruColors>
      <color rgb="FFF0E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 sz="1600" b="1">
                <a:latin typeface="Arial" panose="020B0604020202020204" pitchFamily="34" charset="0"/>
                <a:cs typeface="Arial" panose="020B0604020202020204" pitchFamily="34" charset="0"/>
              </a:rPr>
              <a:t>Total Spring Force (Isothermal)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441945324780512E-2"/>
          <c:y val="0.15462582624708188"/>
          <c:w val="0.65349879663056554"/>
          <c:h val="0.67539094464448368"/>
        </c:manualLayout>
      </c:layout>
      <c:scatterChart>
        <c:scatterStyle val="smoothMarker"/>
        <c:varyColors val="0"/>
        <c:ser>
          <c:idx val="1"/>
          <c:order val="0"/>
          <c:tx>
            <c:v>at 80°C Spring temperature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Fjäderkurva!$M$11:$M$21</c:f>
              <c:numCache>
                <c:formatCode>General</c:formatCode>
                <c:ptCount val="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</c:numCache>
            </c:numRef>
          </c:xVal>
          <c:yVal>
            <c:numRef>
              <c:f>Fjäderkurva!$AH$11:$AH$21</c:f>
              <c:numCache>
                <c:formatCode>0.00</c:formatCode>
                <c:ptCount val="11"/>
                <c:pt idx="0">
                  <c:v>18.071672354948806</c:v>
                </c:pt>
                <c:pt idx="1">
                  <c:v>18.665577080228815</c:v>
                </c:pt>
                <c:pt idx="2">
                  <c:v>19.299844262566683</c:v>
                </c:pt>
                <c:pt idx="3">
                  <c:v>19.978733256727317</c:v>
                </c:pt>
                <c:pt idx="4">
                  <c:v>20.707124573378838</c:v>
                </c:pt>
                <c:pt idx="5">
                  <c:v>21.490637395074256</c:v>
                </c:pt>
                <c:pt idx="6">
                  <c:v>22.335774820723238</c:v>
                </c:pt>
                <c:pt idx="7">
                  <c:v>23.250104784144657</c:v>
                </c:pt>
                <c:pt idx="8">
                  <c:v>24.242487305419129</c:v>
                </c:pt>
                <c:pt idx="9">
                  <c:v>25.323362535597052</c:v>
                </c:pt>
                <c:pt idx="10">
                  <c:v>26.505119453924912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20-4502-96F6-01526BCA19E0}"/>
            </c:ext>
          </c:extLst>
        </c:ser>
        <c:ser>
          <c:idx val="0"/>
          <c:order val="1"/>
          <c:tx>
            <c:v>at 20°C Spring temperature</c:v>
          </c:tx>
          <c:spPr>
            <a:ln w="28575"/>
          </c:spPr>
          <c:marker>
            <c:symbol val="none"/>
          </c:marker>
          <c:xVal>
            <c:numRef>
              <c:f>Fjäderkurva!$M$11:$M$21</c:f>
              <c:numCache>
                <c:formatCode>General</c:formatCode>
                <c:ptCount val="1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</c:numCache>
            </c:numRef>
          </c:xVal>
          <c:yVal>
            <c:numRef>
              <c:f>Fjäderkurva!$AG$11:$AG$21</c:f>
              <c:numCache>
                <c:formatCode>0.00</c:formatCode>
                <c:ptCount val="11"/>
                <c:pt idx="0">
                  <c:v>15</c:v>
                </c:pt>
                <c:pt idx="1">
                  <c:v>15.492957746478874</c:v>
                </c:pt>
                <c:pt idx="2">
                  <c:v>16.019417475728154</c:v>
                </c:pt>
                <c:pt idx="3">
                  <c:v>16.582914572864318</c:v>
                </c:pt>
                <c:pt idx="4">
                  <c:v>17.1875</c:v>
                </c:pt>
                <c:pt idx="5">
                  <c:v>17.837837837837839</c:v>
                </c:pt>
                <c:pt idx="6">
                  <c:v>18.539325842696627</c:v>
                </c:pt>
                <c:pt idx="7">
                  <c:v>19.298245614035086</c:v>
                </c:pt>
                <c:pt idx="8">
                  <c:v>20.121951219512194</c:v>
                </c:pt>
                <c:pt idx="9">
                  <c:v>21.019108280254777</c:v>
                </c:pt>
                <c:pt idx="10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20-4502-96F6-01526BCA1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617216"/>
        <c:axId val="184627584"/>
      </c:scatterChart>
      <c:valAx>
        <c:axId val="18461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v-SE" b="1">
                    <a:latin typeface="Arial" panose="020B0604020202020204" pitchFamily="34" charset="0"/>
                    <a:cs typeface="Arial" panose="020B0604020202020204" pitchFamily="34" charset="0"/>
                  </a:rPr>
                  <a:t>Stroke (mm)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84627584"/>
        <c:crosses val="autoZero"/>
        <c:crossBetween val="midCat"/>
      </c:valAx>
      <c:valAx>
        <c:axId val="18462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sv-SE" b="1">
                    <a:latin typeface="Arial" panose="020B0604020202020204" pitchFamily="34" charset="0"/>
                    <a:cs typeface="Arial" panose="020B0604020202020204" pitchFamily="34" charset="0"/>
                  </a:rPr>
                  <a:t>Force (kN)</a:t>
                </a:r>
              </a:p>
            </c:rich>
          </c:tx>
          <c:layout>
            <c:manualLayout>
              <c:xMode val="edge"/>
              <c:yMode val="edge"/>
              <c:x val="7.7714266613183583E-3"/>
              <c:y val="0.39611732479034678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1846172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621371141846836"/>
          <c:y val="0.37586183748323199"/>
          <c:w val="0.26065834336141197"/>
          <c:h val="0.23964811220409327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Spring Back</a:t>
            </a:r>
          </a:p>
        </c:rich>
      </c:tx>
      <c:layout>
        <c:manualLayout>
          <c:xMode val="edge"/>
          <c:yMode val="edge"/>
          <c:x val="0.42983953180579526"/>
          <c:y val="3.64855755231979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61980409116362"/>
          <c:y val="0.12250044656384122"/>
          <c:w val="0.77372402515776939"/>
          <c:h val="0.60449078456154859"/>
        </c:manualLayout>
      </c:layout>
      <c:scatterChart>
        <c:scatterStyle val="smoothMarker"/>
        <c:varyColors val="0"/>
        <c:ser>
          <c:idx val="0"/>
          <c:order val="0"/>
          <c:tx>
            <c:v>Max Spring Back (No Oil in spring)</c:v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Spring_Back!$S$9:$S$39</c:f>
              <c:numCache>
                <c:formatCode>General</c:formatCode>
                <c:ptCount val="31"/>
                <c:pt idx="0">
                  <c:v>3.5</c:v>
                </c:pt>
                <c:pt idx="1">
                  <c:v>3.55</c:v>
                </c:pt>
                <c:pt idx="2">
                  <c:v>3.5999999999999996</c:v>
                </c:pt>
                <c:pt idx="3">
                  <c:v>3.65</c:v>
                </c:pt>
                <c:pt idx="4">
                  <c:v>3.7</c:v>
                </c:pt>
                <c:pt idx="5">
                  <c:v>3.75</c:v>
                </c:pt>
                <c:pt idx="6">
                  <c:v>3.8</c:v>
                </c:pt>
                <c:pt idx="7">
                  <c:v>3.85</c:v>
                </c:pt>
                <c:pt idx="8">
                  <c:v>3.9000000000000004</c:v>
                </c:pt>
                <c:pt idx="9">
                  <c:v>3.95</c:v>
                </c:pt>
                <c:pt idx="10">
                  <c:v>4</c:v>
                </c:pt>
                <c:pt idx="11">
                  <c:v>4.0500000000000007</c:v>
                </c:pt>
                <c:pt idx="12">
                  <c:v>4.0999999999999996</c:v>
                </c:pt>
                <c:pt idx="13">
                  <c:v>4.1499999999999995</c:v>
                </c:pt>
                <c:pt idx="14">
                  <c:v>4.2</c:v>
                </c:pt>
                <c:pt idx="15">
                  <c:v>4.25</c:v>
                </c:pt>
                <c:pt idx="16">
                  <c:v>4.3</c:v>
                </c:pt>
                <c:pt idx="17">
                  <c:v>4.3499999999999996</c:v>
                </c:pt>
                <c:pt idx="18">
                  <c:v>4.4000000000000004</c:v>
                </c:pt>
                <c:pt idx="19">
                  <c:v>4.45</c:v>
                </c:pt>
                <c:pt idx="20">
                  <c:v>4.5</c:v>
                </c:pt>
                <c:pt idx="21">
                  <c:v>4.55</c:v>
                </c:pt>
                <c:pt idx="22">
                  <c:v>4.6000000000000005</c:v>
                </c:pt>
                <c:pt idx="23">
                  <c:v>4.6500000000000004</c:v>
                </c:pt>
                <c:pt idx="24">
                  <c:v>4.6999999999999993</c:v>
                </c:pt>
                <c:pt idx="25">
                  <c:v>4.75</c:v>
                </c:pt>
                <c:pt idx="26">
                  <c:v>4.8</c:v>
                </c:pt>
                <c:pt idx="27">
                  <c:v>4.8499999999999996</c:v>
                </c:pt>
                <c:pt idx="28">
                  <c:v>4.9000000000000004</c:v>
                </c:pt>
                <c:pt idx="29">
                  <c:v>4.95</c:v>
                </c:pt>
                <c:pt idx="30">
                  <c:v>5</c:v>
                </c:pt>
              </c:numCache>
            </c:numRef>
          </c:xVal>
          <c:yVal>
            <c:numRef>
              <c:f>Spring_Back!$W$9:$W$39</c:f>
              <c:numCache>
                <c:formatCode>General</c:formatCode>
                <c:ptCount val="31"/>
                <c:pt idx="0">
                  <c:v>0.48445727376923831</c:v>
                </c:pt>
                <c:pt idx="1">
                  <c:v>0.4808387216368708</c:v>
                </c:pt>
                <c:pt idx="2">
                  <c:v>0.47715503653203767</c:v>
                </c:pt>
                <c:pt idx="3">
                  <c:v>0.47340609970249281</c:v>
                </c:pt>
                <c:pt idx="4">
                  <c:v>0.46959179210713142</c:v>
                </c:pt>
                <c:pt idx="5">
                  <c:v>0.46571199441511096</c:v>
                </c:pt>
                <c:pt idx="6">
                  <c:v>0.46176658700496981</c:v>
                </c:pt>
                <c:pt idx="7">
                  <c:v>0.45775544996374062</c:v>
                </c:pt>
                <c:pt idx="8">
                  <c:v>0.45367846308606358</c:v>
                </c:pt>
                <c:pt idx="9">
                  <c:v>0.449535505873293</c:v>
                </c:pt>
                <c:pt idx="10">
                  <c:v>0.44532645753260347</c:v>
                </c:pt>
                <c:pt idx="11">
                  <c:v>0.44105119697609102</c:v>
                </c:pt>
                <c:pt idx="12">
                  <c:v>0.43670960281987187</c:v>
                </c:pt>
                <c:pt idx="13">
                  <c:v>0.43230155338317677</c:v>
                </c:pt>
                <c:pt idx="14">
                  <c:v>0.42782692668744399</c:v>
                </c:pt>
                <c:pt idx="15">
                  <c:v>0.42328560045540659</c:v>
                </c:pt>
                <c:pt idx="16">
                  <c:v>0.41867745211017821</c:v>
                </c:pt>
                <c:pt idx="17">
                  <c:v>0.41400235877433489</c:v>
                </c:pt>
                <c:pt idx="18">
                  <c:v>0.40926019726899249</c:v>
                </c:pt>
                <c:pt idx="19">
                  <c:v>0.40445084411288301</c:v>
                </c:pt>
                <c:pt idx="20">
                  <c:v>0.39957417552142493</c:v>
                </c:pt>
                <c:pt idx="21">
                  <c:v>0.39463006740579193</c:v>
                </c:pt>
                <c:pt idx="22">
                  <c:v>0.38961839537197757</c:v>
                </c:pt>
                <c:pt idx="23">
                  <c:v>0.38453903471985657</c:v>
                </c:pt>
                <c:pt idx="24">
                  <c:v>0.37939186044224221</c:v>
                </c:pt>
                <c:pt idx="25">
                  <c:v>0.37417674722394068</c:v>
                </c:pt>
                <c:pt idx="26">
                  <c:v>0.36889356944080254</c:v>
                </c:pt>
                <c:pt idx="27">
                  <c:v>0.36354220115876906</c:v>
                </c:pt>
                <c:pt idx="28">
                  <c:v>0.35812251613291662</c:v>
                </c:pt>
                <c:pt idx="29">
                  <c:v>0.35263438780649653</c:v>
                </c:pt>
                <c:pt idx="30">
                  <c:v>0.3470776893099719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AD-4112-93F2-E35E10AC5653}"/>
            </c:ext>
          </c:extLst>
        </c:ser>
        <c:ser>
          <c:idx val="3"/>
          <c:order val="1"/>
          <c:tx>
            <c:v>Min Spring Back (100% Oil in Spring)</c:v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Spring_Back!$S$43:$S$73</c:f>
              <c:numCache>
                <c:formatCode>General</c:formatCode>
                <c:ptCount val="31"/>
                <c:pt idx="0">
                  <c:v>3.5</c:v>
                </c:pt>
                <c:pt idx="1">
                  <c:v>3.55</c:v>
                </c:pt>
                <c:pt idx="2">
                  <c:v>3.5999999999999996</c:v>
                </c:pt>
                <c:pt idx="3">
                  <c:v>3.65</c:v>
                </c:pt>
                <c:pt idx="4">
                  <c:v>3.7</c:v>
                </c:pt>
                <c:pt idx="5">
                  <c:v>3.75</c:v>
                </c:pt>
                <c:pt idx="6">
                  <c:v>3.8</c:v>
                </c:pt>
                <c:pt idx="7">
                  <c:v>3.85</c:v>
                </c:pt>
                <c:pt idx="8">
                  <c:v>3.9000000000000004</c:v>
                </c:pt>
                <c:pt idx="9">
                  <c:v>3.95</c:v>
                </c:pt>
                <c:pt idx="10">
                  <c:v>4</c:v>
                </c:pt>
                <c:pt idx="11">
                  <c:v>4.0500000000000007</c:v>
                </c:pt>
                <c:pt idx="12">
                  <c:v>4.0999999999999996</c:v>
                </c:pt>
                <c:pt idx="13">
                  <c:v>4.1499999999999995</c:v>
                </c:pt>
                <c:pt idx="14">
                  <c:v>4.2</c:v>
                </c:pt>
                <c:pt idx="15">
                  <c:v>4.25</c:v>
                </c:pt>
                <c:pt idx="16">
                  <c:v>4.3</c:v>
                </c:pt>
                <c:pt idx="17">
                  <c:v>4.3499999999999996</c:v>
                </c:pt>
                <c:pt idx="18">
                  <c:v>4.4000000000000004</c:v>
                </c:pt>
                <c:pt idx="19">
                  <c:v>4.45</c:v>
                </c:pt>
                <c:pt idx="20">
                  <c:v>4.5</c:v>
                </c:pt>
                <c:pt idx="21">
                  <c:v>4.55</c:v>
                </c:pt>
                <c:pt idx="22">
                  <c:v>4.6000000000000005</c:v>
                </c:pt>
                <c:pt idx="23">
                  <c:v>4.6500000000000004</c:v>
                </c:pt>
                <c:pt idx="24">
                  <c:v>4.6999999999999993</c:v>
                </c:pt>
                <c:pt idx="25">
                  <c:v>4.75</c:v>
                </c:pt>
                <c:pt idx="26">
                  <c:v>4.8</c:v>
                </c:pt>
                <c:pt idx="27">
                  <c:v>4.8499999999999996</c:v>
                </c:pt>
                <c:pt idx="28">
                  <c:v>4.9000000000000004</c:v>
                </c:pt>
                <c:pt idx="29">
                  <c:v>4.95</c:v>
                </c:pt>
                <c:pt idx="30">
                  <c:v>5</c:v>
                </c:pt>
              </c:numCache>
            </c:numRef>
          </c:xVal>
          <c:yVal>
            <c:numRef>
              <c:f>Spring_Back!$X$43:$X$73</c:f>
              <c:numCache>
                <c:formatCode>General</c:formatCode>
                <c:ptCount val="31"/>
                <c:pt idx="0">
                  <c:v>0.13687276461895001</c:v>
                </c:pt>
                <c:pt idx="1">
                  <c:v>0.12937033667190584</c:v>
                </c:pt>
                <c:pt idx="2">
                  <c:v>0.12177567090366603</c:v>
                </c:pt>
                <c:pt idx="3">
                  <c:v>0.11408854520244305</c:v>
                </c:pt>
                <c:pt idx="4">
                  <c:v>0.10630873674274009</c:v>
                </c:pt>
                <c:pt idx="5">
                  <c:v>9.8436021982481178E-2</c:v>
                </c:pt>
                <c:pt idx="6">
                  <c:v>9.0470176660128951E-2</c:v>
                </c:pt>
                <c:pt idx="7">
                  <c:v>8.241097579178748E-2</c:v>
                </c:pt>
                <c:pt idx="8">
                  <c:v>7.4258193668291742E-2</c:v>
                </c:pt>
                <c:pt idx="9">
                  <c:v>6.6011603852282608E-2</c:v>
                </c:pt>
                <c:pt idx="10">
                  <c:v>5.7670979175267562E-2</c:v>
                </c:pt>
                <c:pt idx="11">
                  <c:v>4.9236091734667913E-2</c:v>
                </c:pt>
                <c:pt idx="12">
                  <c:v>4.0706712890851336E-2</c:v>
                </c:pt>
                <c:pt idx="13">
                  <c:v>3.2082613264148512E-2</c:v>
                </c:pt>
                <c:pt idx="14">
                  <c:v>2.3363562731858408E-2</c:v>
                </c:pt>
                <c:pt idx="15">
                  <c:v>1.4549330425235901E-2</c:v>
                </c:pt>
                <c:pt idx="16">
                  <c:v>5.6396847264667182E-3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AD-4112-93F2-E35E10AC5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926592"/>
        <c:axId val="206928512"/>
      </c:scatterChart>
      <c:valAx>
        <c:axId val="20692659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sv-SE" sz="1600"/>
                  <a:t>Stroke (mm)</a:t>
                </a:r>
              </a:p>
            </c:rich>
          </c:tx>
          <c:layout>
            <c:manualLayout>
              <c:xMode val="edge"/>
              <c:yMode val="edge"/>
              <c:x val="0.41626433870577823"/>
              <c:y val="0.7484533343743298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06928512"/>
        <c:crosses val="autoZero"/>
        <c:crossBetween val="midCat"/>
      </c:valAx>
      <c:valAx>
        <c:axId val="20692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sv-SE" sz="1600"/>
                  <a:t>Spring Back (mm)</a:t>
                </a:r>
              </a:p>
            </c:rich>
          </c:tx>
          <c:layout>
            <c:manualLayout>
              <c:xMode val="edge"/>
              <c:yMode val="edge"/>
              <c:x val="2.8057090840127256E-2"/>
              <c:y val="0.366352694685357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06926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2.6294995989726785E-2"/>
          <c:y val="0.77558329180331853"/>
          <c:w val="0.90953355857036877"/>
          <c:h val="0.19173938855312808"/>
        </c:manualLayout>
      </c:layout>
      <c:overlay val="0"/>
      <c:txPr>
        <a:bodyPr/>
        <a:lstStyle/>
        <a:p>
          <a:pPr>
            <a:defRPr sz="1600"/>
          </a:pPr>
          <a:endParaRPr lang="sv-SE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Spring Back</a:t>
            </a:r>
          </a:p>
        </c:rich>
      </c:tx>
      <c:layout>
        <c:manualLayout>
          <c:xMode val="edge"/>
          <c:yMode val="edge"/>
          <c:x val="0.37192088122605366"/>
          <c:y val="3.6627922557098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654789272030647E-2"/>
          <c:y val="0.25254109113155765"/>
          <c:w val="0.75547375328083999"/>
          <c:h val="0.57543761148218275"/>
        </c:manualLayout>
      </c:layout>
      <c:scatterChart>
        <c:scatterStyle val="smoothMarker"/>
        <c:varyColors val="0"/>
        <c:ser>
          <c:idx val="0"/>
          <c:order val="0"/>
          <c:tx>
            <c:v>Max Spring Back (No Oil left in spring)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Spring_Back!$R$9:$R$39</c:f>
              <c:numCache>
                <c:formatCode>0.00%</c:formatCode>
                <c:ptCount val="31"/>
                <c:pt idx="0">
                  <c:v>0.7</c:v>
                </c:pt>
                <c:pt idx="1">
                  <c:v>0.71</c:v>
                </c:pt>
                <c:pt idx="2">
                  <c:v>0.72</c:v>
                </c:pt>
                <c:pt idx="3">
                  <c:v>0.73</c:v>
                </c:pt>
                <c:pt idx="4">
                  <c:v>0.74</c:v>
                </c:pt>
                <c:pt idx="5">
                  <c:v>0.75</c:v>
                </c:pt>
                <c:pt idx="6">
                  <c:v>0.76</c:v>
                </c:pt>
                <c:pt idx="7">
                  <c:v>0.77</c:v>
                </c:pt>
                <c:pt idx="8">
                  <c:v>0.78</c:v>
                </c:pt>
                <c:pt idx="9">
                  <c:v>0.79</c:v>
                </c:pt>
                <c:pt idx="10">
                  <c:v>0.8</c:v>
                </c:pt>
                <c:pt idx="11">
                  <c:v>0.81</c:v>
                </c:pt>
                <c:pt idx="12">
                  <c:v>0.82</c:v>
                </c:pt>
                <c:pt idx="13">
                  <c:v>0.83</c:v>
                </c:pt>
                <c:pt idx="14">
                  <c:v>0.84</c:v>
                </c:pt>
                <c:pt idx="15">
                  <c:v>0.85</c:v>
                </c:pt>
                <c:pt idx="16">
                  <c:v>0.86</c:v>
                </c:pt>
                <c:pt idx="17">
                  <c:v>0.87</c:v>
                </c:pt>
                <c:pt idx="18">
                  <c:v>0.88</c:v>
                </c:pt>
                <c:pt idx="19">
                  <c:v>0.89</c:v>
                </c:pt>
                <c:pt idx="20">
                  <c:v>0.9</c:v>
                </c:pt>
                <c:pt idx="21">
                  <c:v>0.91</c:v>
                </c:pt>
                <c:pt idx="22">
                  <c:v>0.92</c:v>
                </c:pt>
                <c:pt idx="23">
                  <c:v>0.93</c:v>
                </c:pt>
                <c:pt idx="24">
                  <c:v>0.94</c:v>
                </c:pt>
                <c:pt idx="25">
                  <c:v>0.95</c:v>
                </c:pt>
                <c:pt idx="26">
                  <c:v>0.96</c:v>
                </c:pt>
                <c:pt idx="27">
                  <c:v>0.97</c:v>
                </c:pt>
                <c:pt idx="28">
                  <c:v>0.98</c:v>
                </c:pt>
                <c:pt idx="29">
                  <c:v>0.99</c:v>
                </c:pt>
                <c:pt idx="30">
                  <c:v>1</c:v>
                </c:pt>
              </c:numCache>
            </c:numRef>
          </c:xVal>
          <c:yVal>
            <c:numRef>
              <c:f>Spring_Back!$W$9:$W$39</c:f>
              <c:numCache>
                <c:formatCode>General</c:formatCode>
                <c:ptCount val="31"/>
                <c:pt idx="0">
                  <c:v>0.48445727376923831</c:v>
                </c:pt>
                <c:pt idx="1">
                  <c:v>0.4808387216368708</c:v>
                </c:pt>
                <c:pt idx="2">
                  <c:v>0.47715503653203767</c:v>
                </c:pt>
                <c:pt idx="3">
                  <c:v>0.47340609970249281</c:v>
                </c:pt>
                <c:pt idx="4">
                  <c:v>0.46959179210713142</c:v>
                </c:pt>
                <c:pt idx="5">
                  <c:v>0.46571199441511096</c:v>
                </c:pt>
                <c:pt idx="6">
                  <c:v>0.46176658700496981</c:v>
                </c:pt>
                <c:pt idx="7">
                  <c:v>0.45775544996374062</c:v>
                </c:pt>
                <c:pt idx="8">
                  <c:v>0.45367846308606358</c:v>
                </c:pt>
                <c:pt idx="9">
                  <c:v>0.449535505873293</c:v>
                </c:pt>
                <c:pt idx="10">
                  <c:v>0.44532645753260347</c:v>
                </c:pt>
                <c:pt idx="11">
                  <c:v>0.44105119697609102</c:v>
                </c:pt>
                <c:pt idx="12">
                  <c:v>0.43670960281987187</c:v>
                </c:pt>
                <c:pt idx="13">
                  <c:v>0.43230155338317677</c:v>
                </c:pt>
                <c:pt idx="14">
                  <c:v>0.42782692668744399</c:v>
                </c:pt>
                <c:pt idx="15">
                  <c:v>0.42328560045540659</c:v>
                </c:pt>
                <c:pt idx="16">
                  <c:v>0.41867745211017821</c:v>
                </c:pt>
                <c:pt idx="17">
                  <c:v>0.41400235877433489</c:v>
                </c:pt>
                <c:pt idx="18">
                  <c:v>0.40926019726899249</c:v>
                </c:pt>
                <c:pt idx="19">
                  <c:v>0.40445084411288301</c:v>
                </c:pt>
                <c:pt idx="20">
                  <c:v>0.39957417552142493</c:v>
                </c:pt>
                <c:pt idx="21">
                  <c:v>0.39463006740579193</c:v>
                </c:pt>
                <c:pt idx="22">
                  <c:v>0.38961839537197757</c:v>
                </c:pt>
                <c:pt idx="23">
                  <c:v>0.38453903471985657</c:v>
                </c:pt>
                <c:pt idx="24">
                  <c:v>0.37939186044224221</c:v>
                </c:pt>
                <c:pt idx="25">
                  <c:v>0.37417674722394068</c:v>
                </c:pt>
                <c:pt idx="26">
                  <c:v>0.36889356944080254</c:v>
                </c:pt>
                <c:pt idx="27">
                  <c:v>0.36354220115876906</c:v>
                </c:pt>
                <c:pt idx="28">
                  <c:v>0.35812251613291662</c:v>
                </c:pt>
                <c:pt idx="29">
                  <c:v>0.35263438780649653</c:v>
                </c:pt>
                <c:pt idx="30">
                  <c:v>0.3470776893099719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A2-426C-8534-A4F84AEFD66A}"/>
            </c:ext>
          </c:extLst>
        </c:ser>
        <c:ser>
          <c:idx val="3"/>
          <c:order val="1"/>
          <c:tx>
            <c:v>Min Spring Back (Default Oil Amount)</c:v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Spring_Back!$R$43:$R$73</c:f>
              <c:numCache>
                <c:formatCode>0.00%</c:formatCode>
                <c:ptCount val="31"/>
                <c:pt idx="0">
                  <c:v>0.7</c:v>
                </c:pt>
                <c:pt idx="1">
                  <c:v>0.71</c:v>
                </c:pt>
                <c:pt idx="2">
                  <c:v>0.72</c:v>
                </c:pt>
                <c:pt idx="3">
                  <c:v>0.73</c:v>
                </c:pt>
                <c:pt idx="4">
                  <c:v>0.74</c:v>
                </c:pt>
                <c:pt idx="5">
                  <c:v>0.75</c:v>
                </c:pt>
                <c:pt idx="6">
                  <c:v>0.76</c:v>
                </c:pt>
                <c:pt idx="7">
                  <c:v>0.77</c:v>
                </c:pt>
                <c:pt idx="8">
                  <c:v>0.78</c:v>
                </c:pt>
                <c:pt idx="9">
                  <c:v>0.79</c:v>
                </c:pt>
                <c:pt idx="10">
                  <c:v>0.8</c:v>
                </c:pt>
                <c:pt idx="11">
                  <c:v>0.81</c:v>
                </c:pt>
                <c:pt idx="12">
                  <c:v>0.82</c:v>
                </c:pt>
                <c:pt idx="13">
                  <c:v>0.83</c:v>
                </c:pt>
                <c:pt idx="14">
                  <c:v>0.84</c:v>
                </c:pt>
                <c:pt idx="15">
                  <c:v>0.85</c:v>
                </c:pt>
                <c:pt idx="16">
                  <c:v>0.86</c:v>
                </c:pt>
                <c:pt idx="17">
                  <c:v>0.87</c:v>
                </c:pt>
                <c:pt idx="18">
                  <c:v>0.88</c:v>
                </c:pt>
                <c:pt idx="19">
                  <c:v>0.89</c:v>
                </c:pt>
                <c:pt idx="20">
                  <c:v>0.9</c:v>
                </c:pt>
                <c:pt idx="21">
                  <c:v>0.91</c:v>
                </c:pt>
                <c:pt idx="22">
                  <c:v>0.92</c:v>
                </c:pt>
                <c:pt idx="23">
                  <c:v>0.93</c:v>
                </c:pt>
                <c:pt idx="24">
                  <c:v>0.94</c:v>
                </c:pt>
                <c:pt idx="25">
                  <c:v>0.95</c:v>
                </c:pt>
                <c:pt idx="26">
                  <c:v>0.96</c:v>
                </c:pt>
                <c:pt idx="27">
                  <c:v>0.97</c:v>
                </c:pt>
                <c:pt idx="28">
                  <c:v>0.98</c:v>
                </c:pt>
                <c:pt idx="29">
                  <c:v>0.99</c:v>
                </c:pt>
                <c:pt idx="30">
                  <c:v>1</c:v>
                </c:pt>
              </c:numCache>
            </c:numRef>
          </c:xVal>
          <c:yVal>
            <c:numRef>
              <c:f>Spring_Back!$X$43:$X$73</c:f>
              <c:numCache>
                <c:formatCode>General</c:formatCode>
                <c:ptCount val="31"/>
                <c:pt idx="0">
                  <c:v>0.13687276461895001</c:v>
                </c:pt>
                <c:pt idx="1">
                  <c:v>0.12937033667190584</c:v>
                </c:pt>
                <c:pt idx="2">
                  <c:v>0.12177567090366603</c:v>
                </c:pt>
                <c:pt idx="3">
                  <c:v>0.11408854520244305</c:v>
                </c:pt>
                <c:pt idx="4">
                  <c:v>0.10630873674274009</c:v>
                </c:pt>
                <c:pt idx="5">
                  <c:v>9.8436021982481178E-2</c:v>
                </c:pt>
                <c:pt idx="6">
                  <c:v>9.0470176660128951E-2</c:v>
                </c:pt>
                <c:pt idx="7">
                  <c:v>8.241097579178748E-2</c:v>
                </c:pt>
                <c:pt idx="8">
                  <c:v>7.4258193668291742E-2</c:v>
                </c:pt>
                <c:pt idx="9">
                  <c:v>6.6011603852282608E-2</c:v>
                </c:pt>
                <c:pt idx="10">
                  <c:v>5.7670979175267562E-2</c:v>
                </c:pt>
                <c:pt idx="11">
                  <c:v>4.9236091734667913E-2</c:v>
                </c:pt>
                <c:pt idx="12">
                  <c:v>4.0706712890851336E-2</c:v>
                </c:pt>
                <c:pt idx="13">
                  <c:v>3.2082613264148512E-2</c:v>
                </c:pt>
                <c:pt idx="14">
                  <c:v>2.3363562731858408E-2</c:v>
                </c:pt>
                <c:pt idx="15">
                  <c:v>1.4549330425235901E-2</c:v>
                </c:pt>
                <c:pt idx="16">
                  <c:v>5.6396847264667182E-3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A2-426C-8534-A4F84AEFD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708736"/>
        <c:axId val="206710656"/>
      </c:scatterChart>
      <c:valAx>
        <c:axId val="206708736"/>
        <c:scaling>
          <c:orientation val="maxMin"/>
          <c:max val="1"/>
          <c:min val="0.70000000000000007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v-SE" sz="1000"/>
                  <a:t>Used Stroke (mm)</a:t>
                </a:r>
              </a:p>
            </c:rich>
          </c:tx>
          <c:layout>
            <c:manualLayout>
              <c:xMode val="edge"/>
              <c:yMode val="edge"/>
              <c:x val="0.32368160919540223"/>
              <c:y val="0.90990376828569242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crossAx val="206710656"/>
        <c:crosses val="autoZero"/>
        <c:crossBetween val="midCat"/>
      </c:valAx>
      <c:valAx>
        <c:axId val="206710656"/>
        <c:scaling>
          <c:orientation val="minMax"/>
          <c:min val="0"/>
        </c:scaling>
        <c:delete val="0"/>
        <c:axPos val="r"/>
        <c:majorGridlines/>
        <c:title>
          <c:tx>
            <c:rich>
              <a:bodyPr/>
              <a:lstStyle/>
              <a:p>
                <a:pPr>
                  <a:defRPr sz="1000"/>
                </a:pPr>
                <a:r>
                  <a:rPr lang="sv-SE" sz="1000"/>
                  <a:t>Spring Back (mm)</a:t>
                </a:r>
              </a:p>
            </c:rich>
          </c:tx>
          <c:layout>
            <c:manualLayout>
              <c:xMode val="edge"/>
              <c:yMode val="edge"/>
              <c:x val="0.92338275862068964"/>
              <c:y val="0.366352757241562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067087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3.8303831417624522E-2"/>
          <c:y val="0.12320639915082358"/>
          <c:w val="0.90953355857036877"/>
          <c:h val="0.13853911879299746"/>
        </c:manualLayout>
      </c:layout>
      <c:overlay val="0"/>
      <c:txPr>
        <a:bodyPr/>
        <a:lstStyle/>
        <a:p>
          <a:pPr>
            <a:defRPr sz="1000"/>
          </a:pPr>
          <a:endParaRPr lang="sv-SE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Spring Back</a:t>
            </a:r>
          </a:p>
        </c:rich>
      </c:tx>
      <c:layout>
        <c:manualLayout>
          <c:xMode val="edge"/>
          <c:yMode val="edge"/>
          <c:x val="0.42983953180579526"/>
          <c:y val="3.64855755231979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61980409116362"/>
          <c:y val="0.12250044656384122"/>
          <c:w val="0.77372402515776939"/>
          <c:h val="0.60449078456154859"/>
        </c:manualLayout>
      </c:layout>
      <c:scatterChart>
        <c:scatterStyle val="smoothMarker"/>
        <c:varyColors val="0"/>
        <c:ser>
          <c:idx val="0"/>
          <c:order val="0"/>
          <c:tx>
            <c:v>Max Spring Back (No Oil in spring)</c:v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Spring_Back!$S$9:$S$39</c:f>
              <c:numCache>
                <c:formatCode>General</c:formatCode>
                <c:ptCount val="31"/>
                <c:pt idx="0">
                  <c:v>3.5</c:v>
                </c:pt>
                <c:pt idx="1">
                  <c:v>3.55</c:v>
                </c:pt>
                <c:pt idx="2">
                  <c:v>3.5999999999999996</c:v>
                </c:pt>
                <c:pt idx="3">
                  <c:v>3.65</c:v>
                </c:pt>
                <c:pt idx="4">
                  <c:v>3.7</c:v>
                </c:pt>
                <c:pt idx="5">
                  <c:v>3.75</c:v>
                </c:pt>
                <c:pt idx="6">
                  <c:v>3.8</c:v>
                </c:pt>
                <c:pt idx="7">
                  <c:v>3.85</c:v>
                </c:pt>
                <c:pt idx="8">
                  <c:v>3.9000000000000004</c:v>
                </c:pt>
                <c:pt idx="9">
                  <c:v>3.95</c:v>
                </c:pt>
                <c:pt idx="10">
                  <c:v>4</c:v>
                </c:pt>
                <c:pt idx="11">
                  <c:v>4.0500000000000007</c:v>
                </c:pt>
                <c:pt idx="12">
                  <c:v>4.0999999999999996</c:v>
                </c:pt>
                <c:pt idx="13">
                  <c:v>4.1499999999999995</c:v>
                </c:pt>
                <c:pt idx="14">
                  <c:v>4.2</c:v>
                </c:pt>
                <c:pt idx="15">
                  <c:v>4.25</c:v>
                </c:pt>
                <c:pt idx="16">
                  <c:v>4.3</c:v>
                </c:pt>
                <c:pt idx="17">
                  <c:v>4.3499999999999996</c:v>
                </c:pt>
                <c:pt idx="18">
                  <c:v>4.4000000000000004</c:v>
                </c:pt>
                <c:pt idx="19">
                  <c:v>4.45</c:v>
                </c:pt>
                <c:pt idx="20">
                  <c:v>4.5</c:v>
                </c:pt>
                <c:pt idx="21">
                  <c:v>4.55</c:v>
                </c:pt>
                <c:pt idx="22">
                  <c:v>4.6000000000000005</c:v>
                </c:pt>
                <c:pt idx="23">
                  <c:v>4.6500000000000004</c:v>
                </c:pt>
                <c:pt idx="24">
                  <c:v>4.6999999999999993</c:v>
                </c:pt>
                <c:pt idx="25">
                  <c:v>4.75</c:v>
                </c:pt>
                <c:pt idx="26">
                  <c:v>4.8</c:v>
                </c:pt>
                <c:pt idx="27">
                  <c:v>4.8499999999999996</c:v>
                </c:pt>
                <c:pt idx="28">
                  <c:v>4.9000000000000004</c:v>
                </c:pt>
                <c:pt idx="29">
                  <c:v>4.95</c:v>
                </c:pt>
                <c:pt idx="30">
                  <c:v>5</c:v>
                </c:pt>
              </c:numCache>
            </c:numRef>
          </c:xVal>
          <c:yVal>
            <c:numRef>
              <c:f>Spring_Back!$W$9:$W$39</c:f>
              <c:numCache>
                <c:formatCode>General</c:formatCode>
                <c:ptCount val="31"/>
                <c:pt idx="0">
                  <c:v>0.48445727376923831</c:v>
                </c:pt>
                <c:pt idx="1">
                  <c:v>0.4808387216368708</c:v>
                </c:pt>
                <c:pt idx="2">
                  <c:v>0.47715503653203767</c:v>
                </c:pt>
                <c:pt idx="3">
                  <c:v>0.47340609970249281</c:v>
                </c:pt>
                <c:pt idx="4">
                  <c:v>0.46959179210713142</c:v>
                </c:pt>
                <c:pt idx="5">
                  <c:v>0.46571199441511096</c:v>
                </c:pt>
                <c:pt idx="6">
                  <c:v>0.46176658700496981</c:v>
                </c:pt>
                <c:pt idx="7">
                  <c:v>0.45775544996374062</c:v>
                </c:pt>
                <c:pt idx="8">
                  <c:v>0.45367846308606358</c:v>
                </c:pt>
                <c:pt idx="9">
                  <c:v>0.449535505873293</c:v>
                </c:pt>
                <c:pt idx="10">
                  <c:v>0.44532645753260347</c:v>
                </c:pt>
                <c:pt idx="11">
                  <c:v>0.44105119697609102</c:v>
                </c:pt>
                <c:pt idx="12">
                  <c:v>0.43670960281987187</c:v>
                </c:pt>
                <c:pt idx="13">
                  <c:v>0.43230155338317677</c:v>
                </c:pt>
                <c:pt idx="14">
                  <c:v>0.42782692668744399</c:v>
                </c:pt>
                <c:pt idx="15">
                  <c:v>0.42328560045540659</c:v>
                </c:pt>
                <c:pt idx="16">
                  <c:v>0.41867745211017821</c:v>
                </c:pt>
                <c:pt idx="17">
                  <c:v>0.41400235877433489</c:v>
                </c:pt>
                <c:pt idx="18">
                  <c:v>0.40926019726899249</c:v>
                </c:pt>
                <c:pt idx="19">
                  <c:v>0.40445084411288301</c:v>
                </c:pt>
                <c:pt idx="20">
                  <c:v>0.39957417552142493</c:v>
                </c:pt>
                <c:pt idx="21">
                  <c:v>0.39463006740579193</c:v>
                </c:pt>
                <c:pt idx="22">
                  <c:v>0.38961839537197757</c:v>
                </c:pt>
                <c:pt idx="23">
                  <c:v>0.38453903471985657</c:v>
                </c:pt>
                <c:pt idx="24">
                  <c:v>0.37939186044224221</c:v>
                </c:pt>
                <c:pt idx="25">
                  <c:v>0.37417674722394068</c:v>
                </c:pt>
                <c:pt idx="26">
                  <c:v>0.36889356944080254</c:v>
                </c:pt>
                <c:pt idx="27">
                  <c:v>0.36354220115876906</c:v>
                </c:pt>
                <c:pt idx="28">
                  <c:v>0.35812251613291662</c:v>
                </c:pt>
                <c:pt idx="29">
                  <c:v>0.35263438780649653</c:v>
                </c:pt>
                <c:pt idx="30">
                  <c:v>0.3470776893099719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4D-43CE-87A1-A2A91E1EC97D}"/>
            </c:ext>
          </c:extLst>
        </c:ser>
        <c:ser>
          <c:idx val="3"/>
          <c:order val="1"/>
          <c:tx>
            <c:v>Min Spring Back (100% Oil in Spring)</c:v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Spring_Back!$S$43:$S$73</c:f>
              <c:numCache>
                <c:formatCode>General</c:formatCode>
                <c:ptCount val="31"/>
                <c:pt idx="0">
                  <c:v>3.5</c:v>
                </c:pt>
                <c:pt idx="1">
                  <c:v>3.55</c:v>
                </c:pt>
                <c:pt idx="2">
                  <c:v>3.5999999999999996</c:v>
                </c:pt>
                <c:pt idx="3">
                  <c:v>3.65</c:v>
                </c:pt>
                <c:pt idx="4">
                  <c:v>3.7</c:v>
                </c:pt>
                <c:pt idx="5">
                  <c:v>3.75</c:v>
                </c:pt>
                <c:pt idx="6">
                  <c:v>3.8</c:v>
                </c:pt>
                <c:pt idx="7">
                  <c:v>3.85</c:v>
                </c:pt>
                <c:pt idx="8">
                  <c:v>3.9000000000000004</c:v>
                </c:pt>
                <c:pt idx="9">
                  <c:v>3.95</c:v>
                </c:pt>
                <c:pt idx="10">
                  <c:v>4</c:v>
                </c:pt>
                <c:pt idx="11">
                  <c:v>4.0500000000000007</c:v>
                </c:pt>
                <c:pt idx="12">
                  <c:v>4.0999999999999996</c:v>
                </c:pt>
                <c:pt idx="13">
                  <c:v>4.1499999999999995</c:v>
                </c:pt>
                <c:pt idx="14">
                  <c:v>4.2</c:v>
                </c:pt>
                <c:pt idx="15">
                  <c:v>4.25</c:v>
                </c:pt>
                <c:pt idx="16">
                  <c:v>4.3</c:v>
                </c:pt>
                <c:pt idx="17">
                  <c:v>4.3499999999999996</c:v>
                </c:pt>
                <c:pt idx="18">
                  <c:v>4.4000000000000004</c:v>
                </c:pt>
                <c:pt idx="19">
                  <c:v>4.45</c:v>
                </c:pt>
                <c:pt idx="20">
                  <c:v>4.5</c:v>
                </c:pt>
                <c:pt idx="21">
                  <c:v>4.55</c:v>
                </c:pt>
                <c:pt idx="22">
                  <c:v>4.6000000000000005</c:v>
                </c:pt>
                <c:pt idx="23">
                  <c:v>4.6500000000000004</c:v>
                </c:pt>
                <c:pt idx="24">
                  <c:v>4.6999999999999993</c:v>
                </c:pt>
                <c:pt idx="25">
                  <c:v>4.75</c:v>
                </c:pt>
                <c:pt idx="26">
                  <c:v>4.8</c:v>
                </c:pt>
                <c:pt idx="27">
                  <c:v>4.8499999999999996</c:v>
                </c:pt>
                <c:pt idx="28">
                  <c:v>4.9000000000000004</c:v>
                </c:pt>
                <c:pt idx="29">
                  <c:v>4.95</c:v>
                </c:pt>
                <c:pt idx="30">
                  <c:v>5</c:v>
                </c:pt>
              </c:numCache>
            </c:numRef>
          </c:xVal>
          <c:yVal>
            <c:numRef>
              <c:f>Spring_Back!$X$43:$X$73</c:f>
              <c:numCache>
                <c:formatCode>General</c:formatCode>
                <c:ptCount val="31"/>
                <c:pt idx="0">
                  <c:v>0.13687276461895001</c:v>
                </c:pt>
                <c:pt idx="1">
                  <c:v>0.12937033667190584</c:v>
                </c:pt>
                <c:pt idx="2">
                  <c:v>0.12177567090366603</c:v>
                </c:pt>
                <c:pt idx="3">
                  <c:v>0.11408854520244305</c:v>
                </c:pt>
                <c:pt idx="4">
                  <c:v>0.10630873674274009</c:v>
                </c:pt>
                <c:pt idx="5">
                  <c:v>9.8436021982481178E-2</c:v>
                </c:pt>
                <c:pt idx="6">
                  <c:v>9.0470176660128951E-2</c:v>
                </c:pt>
                <c:pt idx="7">
                  <c:v>8.241097579178748E-2</c:v>
                </c:pt>
                <c:pt idx="8">
                  <c:v>7.4258193668291742E-2</c:v>
                </c:pt>
                <c:pt idx="9">
                  <c:v>6.6011603852282608E-2</c:v>
                </c:pt>
                <c:pt idx="10">
                  <c:v>5.7670979175267562E-2</c:v>
                </c:pt>
                <c:pt idx="11">
                  <c:v>4.9236091734667913E-2</c:v>
                </c:pt>
                <c:pt idx="12">
                  <c:v>4.0706712890851336E-2</c:v>
                </c:pt>
                <c:pt idx="13">
                  <c:v>3.2082613264148512E-2</c:v>
                </c:pt>
                <c:pt idx="14">
                  <c:v>2.3363562731858408E-2</c:v>
                </c:pt>
                <c:pt idx="15">
                  <c:v>1.4549330425235901E-2</c:v>
                </c:pt>
                <c:pt idx="16">
                  <c:v>5.6396847264667182E-3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4D-43CE-87A1-A2A91E1EC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09728"/>
        <c:axId val="206411648"/>
      </c:scatterChart>
      <c:valAx>
        <c:axId val="20640972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v-SE" sz="1000"/>
                  <a:t>Stroke (mm)</a:t>
                </a:r>
              </a:p>
            </c:rich>
          </c:tx>
          <c:layout>
            <c:manualLayout>
              <c:xMode val="edge"/>
              <c:yMode val="edge"/>
              <c:x val="0.41626433870577823"/>
              <c:y val="0.7484533343743298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06411648"/>
        <c:crosses val="autoZero"/>
        <c:crossBetween val="midCat"/>
      </c:valAx>
      <c:valAx>
        <c:axId val="20641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/>
                </a:pPr>
                <a:r>
                  <a:rPr lang="sv-SE" sz="1000"/>
                  <a:t>Spring Back (mm)</a:t>
                </a:r>
              </a:p>
            </c:rich>
          </c:tx>
          <c:layout>
            <c:manualLayout>
              <c:xMode val="edge"/>
              <c:yMode val="edge"/>
              <c:x val="2.8057090840127256E-2"/>
              <c:y val="0.366352694685357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064097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2.6294995989726785E-2"/>
          <c:y val="0.77558329180331853"/>
          <c:w val="0.90953355857036877"/>
          <c:h val="0.19173938855312808"/>
        </c:manualLayout>
      </c:layout>
      <c:overlay val="0"/>
      <c:txPr>
        <a:bodyPr/>
        <a:lstStyle/>
        <a:p>
          <a:pPr>
            <a:defRPr sz="1000"/>
          </a:pPr>
          <a:endParaRPr lang="sv-SE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Spring Back</a:t>
            </a:r>
          </a:p>
        </c:rich>
      </c:tx>
      <c:layout>
        <c:manualLayout>
          <c:xMode val="edge"/>
          <c:yMode val="edge"/>
          <c:x val="0.37192088122605366"/>
          <c:y val="3.6627922557098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654789272030647E-2"/>
          <c:y val="0.25254109113155765"/>
          <c:w val="0.75547375328083999"/>
          <c:h val="0.57543761148218275"/>
        </c:manualLayout>
      </c:layout>
      <c:scatterChart>
        <c:scatterStyle val="smoothMarker"/>
        <c:varyColors val="0"/>
        <c:ser>
          <c:idx val="0"/>
          <c:order val="0"/>
          <c:tx>
            <c:v>Max Spring Back (No Oil left in spring)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Spring_Back!$R$9:$R$39</c:f>
              <c:numCache>
                <c:formatCode>0.00%</c:formatCode>
                <c:ptCount val="31"/>
                <c:pt idx="0">
                  <c:v>0.7</c:v>
                </c:pt>
                <c:pt idx="1">
                  <c:v>0.71</c:v>
                </c:pt>
                <c:pt idx="2">
                  <c:v>0.72</c:v>
                </c:pt>
                <c:pt idx="3">
                  <c:v>0.73</c:v>
                </c:pt>
                <c:pt idx="4">
                  <c:v>0.74</c:v>
                </c:pt>
                <c:pt idx="5">
                  <c:v>0.75</c:v>
                </c:pt>
                <c:pt idx="6">
                  <c:v>0.76</c:v>
                </c:pt>
                <c:pt idx="7">
                  <c:v>0.77</c:v>
                </c:pt>
                <c:pt idx="8">
                  <c:v>0.78</c:v>
                </c:pt>
                <c:pt idx="9">
                  <c:v>0.79</c:v>
                </c:pt>
                <c:pt idx="10">
                  <c:v>0.8</c:v>
                </c:pt>
                <c:pt idx="11">
                  <c:v>0.81</c:v>
                </c:pt>
                <c:pt idx="12">
                  <c:v>0.82</c:v>
                </c:pt>
                <c:pt idx="13">
                  <c:v>0.83</c:v>
                </c:pt>
                <c:pt idx="14">
                  <c:v>0.84</c:v>
                </c:pt>
                <c:pt idx="15">
                  <c:v>0.85</c:v>
                </c:pt>
                <c:pt idx="16">
                  <c:v>0.86</c:v>
                </c:pt>
                <c:pt idx="17">
                  <c:v>0.87</c:v>
                </c:pt>
                <c:pt idx="18">
                  <c:v>0.88</c:v>
                </c:pt>
                <c:pt idx="19">
                  <c:v>0.89</c:v>
                </c:pt>
                <c:pt idx="20">
                  <c:v>0.9</c:v>
                </c:pt>
                <c:pt idx="21">
                  <c:v>0.91</c:v>
                </c:pt>
                <c:pt idx="22">
                  <c:v>0.92</c:v>
                </c:pt>
                <c:pt idx="23">
                  <c:v>0.93</c:v>
                </c:pt>
                <c:pt idx="24">
                  <c:v>0.94</c:v>
                </c:pt>
                <c:pt idx="25">
                  <c:v>0.95</c:v>
                </c:pt>
                <c:pt idx="26">
                  <c:v>0.96</c:v>
                </c:pt>
                <c:pt idx="27">
                  <c:v>0.97</c:v>
                </c:pt>
                <c:pt idx="28">
                  <c:v>0.98</c:v>
                </c:pt>
                <c:pt idx="29">
                  <c:v>0.99</c:v>
                </c:pt>
                <c:pt idx="30">
                  <c:v>1</c:v>
                </c:pt>
              </c:numCache>
            </c:numRef>
          </c:xVal>
          <c:yVal>
            <c:numRef>
              <c:f>Spring_Back!$W$9:$W$39</c:f>
              <c:numCache>
                <c:formatCode>General</c:formatCode>
                <c:ptCount val="31"/>
                <c:pt idx="0">
                  <c:v>0.48445727376923831</c:v>
                </c:pt>
                <c:pt idx="1">
                  <c:v>0.4808387216368708</c:v>
                </c:pt>
                <c:pt idx="2">
                  <c:v>0.47715503653203767</c:v>
                </c:pt>
                <c:pt idx="3">
                  <c:v>0.47340609970249281</c:v>
                </c:pt>
                <c:pt idx="4">
                  <c:v>0.46959179210713142</c:v>
                </c:pt>
                <c:pt idx="5">
                  <c:v>0.46571199441511096</c:v>
                </c:pt>
                <c:pt idx="6">
                  <c:v>0.46176658700496981</c:v>
                </c:pt>
                <c:pt idx="7">
                  <c:v>0.45775544996374062</c:v>
                </c:pt>
                <c:pt idx="8">
                  <c:v>0.45367846308606358</c:v>
                </c:pt>
                <c:pt idx="9">
                  <c:v>0.449535505873293</c:v>
                </c:pt>
                <c:pt idx="10">
                  <c:v>0.44532645753260347</c:v>
                </c:pt>
                <c:pt idx="11">
                  <c:v>0.44105119697609102</c:v>
                </c:pt>
                <c:pt idx="12">
                  <c:v>0.43670960281987187</c:v>
                </c:pt>
                <c:pt idx="13">
                  <c:v>0.43230155338317677</c:v>
                </c:pt>
                <c:pt idx="14">
                  <c:v>0.42782692668744399</c:v>
                </c:pt>
                <c:pt idx="15">
                  <c:v>0.42328560045540659</c:v>
                </c:pt>
                <c:pt idx="16">
                  <c:v>0.41867745211017821</c:v>
                </c:pt>
                <c:pt idx="17">
                  <c:v>0.41400235877433489</c:v>
                </c:pt>
                <c:pt idx="18">
                  <c:v>0.40926019726899249</c:v>
                </c:pt>
                <c:pt idx="19">
                  <c:v>0.40445084411288301</c:v>
                </c:pt>
                <c:pt idx="20">
                  <c:v>0.39957417552142493</c:v>
                </c:pt>
                <c:pt idx="21">
                  <c:v>0.39463006740579193</c:v>
                </c:pt>
                <c:pt idx="22">
                  <c:v>0.38961839537197757</c:v>
                </c:pt>
                <c:pt idx="23">
                  <c:v>0.38453903471985657</c:v>
                </c:pt>
                <c:pt idx="24">
                  <c:v>0.37939186044224221</c:v>
                </c:pt>
                <c:pt idx="25">
                  <c:v>0.37417674722394068</c:v>
                </c:pt>
                <c:pt idx="26">
                  <c:v>0.36889356944080254</c:v>
                </c:pt>
                <c:pt idx="27">
                  <c:v>0.36354220115876906</c:v>
                </c:pt>
                <c:pt idx="28">
                  <c:v>0.35812251613291662</c:v>
                </c:pt>
                <c:pt idx="29">
                  <c:v>0.35263438780649653</c:v>
                </c:pt>
                <c:pt idx="30">
                  <c:v>0.3470776893099719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2F-4021-8826-7F7605A523C9}"/>
            </c:ext>
          </c:extLst>
        </c:ser>
        <c:ser>
          <c:idx val="3"/>
          <c:order val="1"/>
          <c:tx>
            <c:v>Min Spring Back (Default Oil Amount)</c:v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Spring_Back!$R$43:$R$73</c:f>
              <c:numCache>
                <c:formatCode>0.00%</c:formatCode>
                <c:ptCount val="31"/>
                <c:pt idx="0">
                  <c:v>0.7</c:v>
                </c:pt>
                <c:pt idx="1">
                  <c:v>0.71</c:v>
                </c:pt>
                <c:pt idx="2">
                  <c:v>0.72</c:v>
                </c:pt>
                <c:pt idx="3">
                  <c:v>0.73</c:v>
                </c:pt>
                <c:pt idx="4">
                  <c:v>0.74</c:v>
                </c:pt>
                <c:pt idx="5">
                  <c:v>0.75</c:v>
                </c:pt>
                <c:pt idx="6">
                  <c:v>0.76</c:v>
                </c:pt>
                <c:pt idx="7">
                  <c:v>0.77</c:v>
                </c:pt>
                <c:pt idx="8">
                  <c:v>0.78</c:v>
                </c:pt>
                <c:pt idx="9">
                  <c:v>0.79</c:v>
                </c:pt>
                <c:pt idx="10">
                  <c:v>0.8</c:v>
                </c:pt>
                <c:pt idx="11">
                  <c:v>0.81</c:v>
                </c:pt>
                <c:pt idx="12">
                  <c:v>0.82</c:v>
                </c:pt>
                <c:pt idx="13">
                  <c:v>0.83</c:v>
                </c:pt>
                <c:pt idx="14">
                  <c:v>0.84</c:v>
                </c:pt>
                <c:pt idx="15">
                  <c:v>0.85</c:v>
                </c:pt>
                <c:pt idx="16">
                  <c:v>0.86</c:v>
                </c:pt>
                <c:pt idx="17">
                  <c:v>0.87</c:v>
                </c:pt>
                <c:pt idx="18">
                  <c:v>0.88</c:v>
                </c:pt>
                <c:pt idx="19">
                  <c:v>0.89</c:v>
                </c:pt>
                <c:pt idx="20">
                  <c:v>0.9</c:v>
                </c:pt>
                <c:pt idx="21">
                  <c:v>0.91</c:v>
                </c:pt>
                <c:pt idx="22">
                  <c:v>0.92</c:v>
                </c:pt>
                <c:pt idx="23">
                  <c:v>0.93</c:v>
                </c:pt>
                <c:pt idx="24">
                  <c:v>0.94</c:v>
                </c:pt>
                <c:pt idx="25">
                  <c:v>0.95</c:v>
                </c:pt>
                <c:pt idx="26">
                  <c:v>0.96</c:v>
                </c:pt>
                <c:pt idx="27">
                  <c:v>0.97</c:v>
                </c:pt>
                <c:pt idx="28">
                  <c:v>0.98</c:v>
                </c:pt>
                <c:pt idx="29">
                  <c:v>0.99</c:v>
                </c:pt>
                <c:pt idx="30">
                  <c:v>1</c:v>
                </c:pt>
              </c:numCache>
            </c:numRef>
          </c:xVal>
          <c:yVal>
            <c:numRef>
              <c:f>Spring_Back!$X$43:$X$73</c:f>
              <c:numCache>
                <c:formatCode>General</c:formatCode>
                <c:ptCount val="31"/>
                <c:pt idx="0">
                  <c:v>0.13687276461895001</c:v>
                </c:pt>
                <c:pt idx="1">
                  <c:v>0.12937033667190584</c:v>
                </c:pt>
                <c:pt idx="2">
                  <c:v>0.12177567090366603</c:v>
                </c:pt>
                <c:pt idx="3">
                  <c:v>0.11408854520244305</c:v>
                </c:pt>
                <c:pt idx="4">
                  <c:v>0.10630873674274009</c:v>
                </c:pt>
                <c:pt idx="5">
                  <c:v>9.8436021982481178E-2</c:v>
                </c:pt>
                <c:pt idx="6">
                  <c:v>9.0470176660128951E-2</c:v>
                </c:pt>
                <c:pt idx="7">
                  <c:v>8.241097579178748E-2</c:v>
                </c:pt>
                <c:pt idx="8">
                  <c:v>7.4258193668291742E-2</c:v>
                </c:pt>
                <c:pt idx="9">
                  <c:v>6.6011603852282608E-2</c:v>
                </c:pt>
                <c:pt idx="10">
                  <c:v>5.7670979175267562E-2</c:v>
                </c:pt>
                <c:pt idx="11">
                  <c:v>4.9236091734667913E-2</c:v>
                </c:pt>
                <c:pt idx="12">
                  <c:v>4.0706712890851336E-2</c:v>
                </c:pt>
                <c:pt idx="13">
                  <c:v>3.2082613264148512E-2</c:v>
                </c:pt>
                <c:pt idx="14">
                  <c:v>2.3363562731858408E-2</c:v>
                </c:pt>
                <c:pt idx="15">
                  <c:v>1.4549330425235901E-2</c:v>
                </c:pt>
                <c:pt idx="16">
                  <c:v>5.6396847264667182E-3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2F-4021-8826-7F7605A5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33664"/>
        <c:axId val="206759424"/>
      </c:scatterChart>
      <c:valAx>
        <c:axId val="206433664"/>
        <c:scaling>
          <c:orientation val="maxMin"/>
          <c:max val="1"/>
          <c:min val="0.70000000000000007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v-SE" sz="1000"/>
                  <a:t>Used Stroke (mm)</a:t>
                </a:r>
              </a:p>
            </c:rich>
          </c:tx>
          <c:layout>
            <c:manualLayout>
              <c:xMode val="edge"/>
              <c:yMode val="edge"/>
              <c:x val="0.32368160919540223"/>
              <c:y val="0.90990376828569242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crossAx val="206759424"/>
        <c:crosses val="autoZero"/>
        <c:crossBetween val="midCat"/>
      </c:valAx>
      <c:valAx>
        <c:axId val="206759424"/>
        <c:scaling>
          <c:orientation val="minMax"/>
          <c:min val="0"/>
        </c:scaling>
        <c:delete val="0"/>
        <c:axPos val="r"/>
        <c:majorGridlines/>
        <c:title>
          <c:tx>
            <c:rich>
              <a:bodyPr/>
              <a:lstStyle/>
              <a:p>
                <a:pPr>
                  <a:defRPr sz="1000"/>
                </a:pPr>
                <a:r>
                  <a:rPr lang="sv-SE" sz="1000"/>
                  <a:t>Spring Back (mm)</a:t>
                </a:r>
              </a:p>
            </c:rich>
          </c:tx>
          <c:layout>
            <c:manualLayout>
              <c:xMode val="edge"/>
              <c:yMode val="edge"/>
              <c:x val="0.92338275862068964"/>
              <c:y val="0.366352757241562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2064336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3.8303831417624522E-2"/>
          <c:y val="0.12320639915082358"/>
          <c:w val="0.90953355857036877"/>
          <c:h val="0.13853911879299746"/>
        </c:manualLayout>
      </c:layout>
      <c:overlay val="0"/>
      <c:txPr>
        <a:bodyPr/>
        <a:lstStyle/>
        <a:p>
          <a:pPr>
            <a:defRPr sz="1000"/>
          </a:pPr>
          <a:endParaRPr lang="sv-SE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Press and KF Spring Cycle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203615626368007"/>
          <c:y val="0.16432978075012009"/>
          <c:w val="0.56969354062214028"/>
          <c:h val="0.65501924102357201"/>
        </c:manualLayout>
      </c:layout>
      <c:scatterChart>
        <c:scatterStyle val="lineMarker"/>
        <c:varyColors val="0"/>
        <c:ser>
          <c:idx val="2"/>
          <c:order val="2"/>
          <c:tx>
            <c:v>locked spring</c:v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xVal>
            <c:numRef>
              <c:f>Excenterpress!$G$4:$G$84</c:f>
              <c:numCache>
                <c:formatCode>General</c:formatCode>
                <c:ptCount val="8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0.22499999999999998</c:v>
                </c:pt>
                <c:pt idx="4">
                  <c:v>0.30000000000000004</c:v>
                </c:pt>
                <c:pt idx="5">
                  <c:v>0.375</c:v>
                </c:pt>
                <c:pt idx="6">
                  <c:v>0.44999999999999996</c:v>
                </c:pt>
                <c:pt idx="7">
                  <c:v>0.52499999999999991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0.82500000000000007</c:v>
                </c:pt>
                <c:pt idx="12">
                  <c:v>0.89999999999999991</c:v>
                </c:pt>
                <c:pt idx="13">
                  <c:v>0.97500000000000009</c:v>
                </c:pt>
                <c:pt idx="14">
                  <c:v>1.0499999999999998</c:v>
                </c:pt>
                <c:pt idx="15">
                  <c:v>1.125</c:v>
                </c:pt>
                <c:pt idx="16">
                  <c:v>1.2000000000000002</c:v>
                </c:pt>
                <c:pt idx="17">
                  <c:v>1.2749999999999999</c:v>
                </c:pt>
                <c:pt idx="18">
                  <c:v>1.35</c:v>
                </c:pt>
                <c:pt idx="19">
                  <c:v>1.4249999999999998</c:v>
                </c:pt>
                <c:pt idx="20">
                  <c:v>1.5</c:v>
                </c:pt>
                <c:pt idx="21">
                  <c:v>1.5750000000000002</c:v>
                </c:pt>
                <c:pt idx="22">
                  <c:v>1.6500000000000001</c:v>
                </c:pt>
                <c:pt idx="23">
                  <c:v>1.7249999999999999</c:v>
                </c:pt>
                <c:pt idx="24">
                  <c:v>1.7999999999999998</c:v>
                </c:pt>
                <c:pt idx="25">
                  <c:v>1.875</c:v>
                </c:pt>
                <c:pt idx="26">
                  <c:v>1.9500000000000002</c:v>
                </c:pt>
                <c:pt idx="27">
                  <c:v>2.0250000000000004</c:v>
                </c:pt>
                <c:pt idx="28">
                  <c:v>2.0999999999999996</c:v>
                </c:pt>
                <c:pt idx="29">
                  <c:v>2.1749999999999998</c:v>
                </c:pt>
                <c:pt idx="30">
                  <c:v>2.25</c:v>
                </c:pt>
                <c:pt idx="31">
                  <c:v>2.3250000000000002</c:v>
                </c:pt>
                <c:pt idx="32">
                  <c:v>2.4000000000000004</c:v>
                </c:pt>
                <c:pt idx="33">
                  <c:v>2.4749999999999996</c:v>
                </c:pt>
                <c:pt idx="34">
                  <c:v>2.5499999999999998</c:v>
                </c:pt>
                <c:pt idx="35">
                  <c:v>2.625</c:v>
                </c:pt>
                <c:pt idx="36">
                  <c:v>2.7</c:v>
                </c:pt>
                <c:pt idx="37">
                  <c:v>2.7750000000000004</c:v>
                </c:pt>
                <c:pt idx="38">
                  <c:v>2.8499999999999996</c:v>
                </c:pt>
                <c:pt idx="39">
                  <c:v>2.9249999999999998</c:v>
                </c:pt>
                <c:pt idx="40">
                  <c:v>3</c:v>
                </c:pt>
                <c:pt idx="41">
                  <c:v>3.0749999999999997</c:v>
                </c:pt>
                <c:pt idx="42">
                  <c:v>3.1500000000000004</c:v>
                </c:pt>
                <c:pt idx="43">
                  <c:v>3.2249999999999996</c:v>
                </c:pt>
                <c:pt idx="44">
                  <c:v>3.3000000000000003</c:v>
                </c:pt>
                <c:pt idx="45">
                  <c:v>3.375</c:v>
                </c:pt>
                <c:pt idx="46">
                  <c:v>3.4499999999999997</c:v>
                </c:pt>
                <c:pt idx="47">
                  <c:v>3.5250000000000004</c:v>
                </c:pt>
                <c:pt idx="48">
                  <c:v>3.5999999999999996</c:v>
                </c:pt>
                <c:pt idx="49">
                  <c:v>3.6750000000000003</c:v>
                </c:pt>
                <c:pt idx="50">
                  <c:v>3.75</c:v>
                </c:pt>
                <c:pt idx="51">
                  <c:v>3.8249999999999997</c:v>
                </c:pt>
                <c:pt idx="52">
                  <c:v>3.9000000000000004</c:v>
                </c:pt>
                <c:pt idx="53">
                  <c:v>3.9749999999999996</c:v>
                </c:pt>
                <c:pt idx="54">
                  <c:v>4.0500000000000007</c:v>
                </c:pt>
                <c:pt idx="55">
                  <c:v>4.125</c:v>
                </c:pt>
                <c:pt idx="56">
                  <c:v>4.1999999999999993</c:v>
                </c:pt>
                <c:pt idx="57">
                  <c:v>4.2750000000000004</c:v>
                </c:pt>
                <c:pt idx="58">
                  <c:v>4.3499999999999996</c:v>
                </c:pt>
                <c:pt idx="59">
                  <c:v>4.4250000000000007</c:v>
                </c:pt>
                <c:pt idx="60">
                  <c:v>4.5</c:v>
                </c:pt>
                <c:pt idx="61">
                  <c:v>4.5749999999999993</c:v>
                </c:pt>
                <c:pt idx="62">
                  <c:v>4.6500000000000004</c:v>
                </c:pt>
                <c:pt idx="63">
                  <c:v>4.7249999999999996</c:v>
                </c:pt>
                <c:pt idx="64">
                  <c:v>4.8000000000000007</c:v>
                </c:pt>
                <c:pt idx="65">
                  <c:v>4.875</c:v>
                </c:pt>
                <c:pt idx="66">
                  <c:v>4.9499999999999993</c:v>
                </c:pt>
                <c:pt idx="67">
                  <c:v>5.0250000000000004</c:v>
                </c:pt>
                <c:pt idx="68">
                  <c:v>5.0999999999999996</c:v>
                </c:pt>
                <c:pt idx="69">
                  <c:v>5.1750000000000007</c:v>
                </c:pt>
                <c:pt idx="70">
                  <c:v>5.25</c:v>
                </c:pt>
                <c:pt idx="71">
                  <c:v>5.3249999999999993</c:v>
                </c:pt>
                <c:pt idx="72">
                  <c:v>5.4</c:v>
                </c:pt>
                <c:pt idx="73">
                  <c:v>5.4749999999999996</c:v>
                </c:pt>
                <c:pt idx="74">
                  <c:v>5.5500000000000007</c:v>
                </c:pt>
                <c:pt idx="75">
                  <c:v>5.625</c:v>
                </c:pt>
                <c:pt idx="76">
                  <c:v>5.6999999999999993</c:v>
                </c:pt>
                <c:pt idx="77">
                  <c:v>5.7750000000000004</c:v>
                </c:pt>
                <c:pt idx="78">
                  <c:v>5.8500000000000059</c:v>
                </c:pt>
                <c:pt idx="79">
                  <c:v>5.9250000000000007</c:v>
                </c:pt>
                <c:pt idx="80">
                  <c:v>6</c:v>
                </c:pt>
              </c:numCache>
            </c:numRef>
          </c:xVal>
          <c:yVal>
            <c:numRef>
              <c:f>Excenterpress!$L$4:$L$84</c:f>
              <c:numCache>
                <c:formatCode>General</c:formatCode>
                <c:ptCount val="81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A5-45C3-AC5C-9B42210A9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815232"/>
        <c:axId val="206817152"/>
      </c:scatterChart>
      <c:scatterChart>
        <c:scatterStyle val="smoothMarker"/>
        <c:varyColors val="0"/>
        <c:ser>
          <c:idx val="1"/>
          <c:order val="0"/>
          <c:tx>
            <c:v>Press Motion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Excenterpress!$G$4:$G$84</c:f>
              <c:numCache>
                <c:formatCode>General</c:formatCode>
                <c:ptCount val="8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0.22499999999999998</c:v>
                </c:pt>
                <c:pt idx="4">
                  <c:v>0.30000000000000004</c:v>
                </c:pt>
                <c:pt idx="5">
                  <c:v>0.375</c:v>
                </c:pt>
                <c:pt idx="6">
                  <c:v>0.44999999999999996</c:v>
                </c:pt>
                <c:pt idx="7">
                  <c:v>0.52499999999999991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0.82500000000000007</c:v>
                </c:pt>
                <c:pt idx="12">
                  <c:v>0.89999999999999991</c:v>
                </c:pt>
                <c:pt idx="13">
                  <c:v>0.97500000000000009</c:v>
                </c:pt>
                <c:pt idx="14">
                  <c:v>1.0499999999999998</c:v>
                </c:pt>
                <c:pt idx="15">
                  <c:v>1.125</c:v>
                </c:pt>
                <c:pt idx="16">
                  <c:v>1.2000000000000002</c:v>
                </c:pt>
                <c:pt idx="17">
                  <c:v>1.2749999999999999</c:v>
                </c:pt>
                <c:pt idx="18">
                  <c:v>1.35</c:v>
                </c:pt>
                <c:pt idx="19">
                  <c:v>1.4249999999999998</c:v>
                </c:pt>
                <c:pt idx="20">
                  <c:v>1.5</c:v>
                </c:pt>
                <c:pt idx="21">
                  <c:v>1.5750000000000002</c:v>
                </c:pt>
                <c:pt idx="22">
                  <c:v>1.6500000000000001</c:v>
                </c:pt>
                <c:pt idx="23">
                  <c:v>1.7249999999999999</c:v>
                </c:pt>
                <c:pt idx="24">
                  <c:v>1.7999999999999998</c:v>
                </c:pt>
                <c:pt idx="25">
                  <c:v>1.875</c:v>
                </c:pt>
                <c:pt idx="26">
                  <c:v>1.9500000000000002</c:v>
                </c:pt>
                <c:pt idx="27">
                  <c:v>2.0250000000000004</c:v>
                </c:pt>
                <c:pt idx="28">
                  <c:v>2.0999999999999996</c:v>
                </c:pt>
                <c:pt idx="29">
                  <c:v>2.1749999999999998</c:v>
                </c:pt>
                <c:pt idx="30">
                  <c:v>2.25</c:v>
                </c:pt>
                <c:pt idx="31">
                  <c:v>2.3250000000000002</c:v>
                </c:pt>
                <c:pt idx="32">
                  <c:v>2.4000000000000004</c:v>
                </c:pt>
                <c:pt idx="33">
                  <c:v>2.4749999999999996</c:v>
                </c:pt>
                <c:pt idx="34">
                  <c:v>2.5499999999999998</c:v>
                </c:pt>
                <c:pt idx="35">
                  <c:v>2.625</c:v>
                </c:pt>
                <c:pt idx="36">
                  <c:v>2.7</c:v>
                </c:pt>
                <c:pt idx="37">
                  <c:v>2.7750000000000004</c:v>
                </c:pt>
                <c:pt idx="38">
                  <c:v>2.8499999999999996</c:v>
                </c:pt>
                <c:pt idx="39">
                  <c:v>2.9249999999999998</c:v>
                </c:pt>
                <c:pt idx="40">
                  <c:v>3</c:v>
                </c:pt>
                <c:pt idx="41">
                  <c:v>3.0749999999999997</c:v>
                </c:pt>
                <c:pt idx="42">
                  <c:v>3.1500000000000004</c:v>
                </c:pt>
                <c:pt idx="43">
                  <c:v>3.2249999999999996</c:v>
                </c:pt>
                <c:pt idx="44">
                  <c:v>3.3000000000000003</c:v>
                </c:pt>
                <c:pt idx="45">
                  <c:v>3.375</c:v>
                </c:pt>
                <c:pt idx="46">
                  <c:v>3.4499999999999997</c:v>
                </c:pt>
                <c:pt idx="47">
                  <c:v>3.5250000000000004</c:v>
                </c:pt>
                <c:pt idx="48">
                  <c:v>3.5999999999999996</c:v>
                </c:pt>
                <c:pt idx="49">
                  <c:v>3.6750000000000003</c:v>
                </c:pt>
                <c:pt idx="50">
                  <c:v>3.75</c:v>
                </c:pt>
                <c:pt idx="51">
                  <c:v>3.8249999999999997</c:v>
                </c:pt>
                <c:pt idx="52">
                  <c:v>3.9000000000000004</c:v>
                </c:pt>
                <c:pt idx="53">
                  <c:v>3.9749999999999996</c:v>
                </c:pt>
                <c:pt idx="54">
                  <c:v>4.0500000000000007</c:v>
                </c:pt>
                <c:pt idx="55">
                  <c:v>4.125</c:v>
                </c:pt>
                <c:pt idx="56">
                  <c:v>4.1999999999999993</c:v>
                </c:pt>
                <c:pt idx="57">
                  <c:v>4.2750000000000004</c:v>
                </c:pt>
                <c:pt idx="58">
                  <c:v>4.3499999999999996</c:v>
                </c:pt>
                <c:pt idx="59">
                  <c:v>4.4250000000000007</c:v>
                </c:pt>
                <c:pt idx="60">
                  <c:v>4.5</c:v>
                </c:pt>
                <c:pt idx="61">
                  <c:v>4.5749999999999993</c:v>
                </c:pt>
                <c:pt idx="62">
                  <c:v>4.6500000000000004</c:v>
                </c:pt>
                <c:pt idx="63">
                  <c:v>4.7249999999999996</c:v>
                </c:pt>
                <c:pt idx="64">
                  <c:v>4.8000000000000007</c:v>
                </c:pt>
                <c:pt idx="65">
                  <c:v>4.875</c:v>
                </c:pt>
                <c:pt idx="66">
                  <c:v>4.9499999999999993</c:v>
                </c:pt>
                <c:pt idx="67">
                  <c:v>5.0250000000000004</c:v>
                </c:pt>
                <c:pt idx="68">
                  <c:v>5.0999999999999996</c:v>
                </c:pt>
                <c:pt idx="69">
                  <c:v>5.1750000000000007</c:v>
                </c:pt>
                <c:pt idx="70">
                  <c:v>5.25</c:v>
                </c:pt>
                <c:pt idx="71">
                  <c:v>5.3249999999999993</c:v>
                </c:pt>
                <c:pt idx="72">
                  <c:v>5.4</c:v>
                </c:pt>
                <c:pt idx="73">
                  <c:v>5.4749999999999996</c:v>
                </c:pt>
                <c:pt idx="74">
                  <c:v>5.5500000000000007</c:v>
                </c:pt>
                <c:pt idx="75">
                  <c:v>5.625</c:v>
                </c:pt>
                <c:pt idx="76">
                  <c:v>5.6999999999999993</c:v>
                </c:pt>
                <c:pt idx="77">
                  <c:v>5.7750000000000004</c:v>
                </c:pt>
                <c:pt idx="78">
                  <c:v>5.8500000000000059</c:v>
                </c:pt>
                <c:pt idx="79">
                  <c:v>5.9250000000000007</c:v>
                </c:pt>
                <c:pt idx="80">
                  <c:v>6</c:v>
                </c:pt>
              </c:numCache>
            </c:numRef>
          </c:xVal>
          <c:yVal>
            <c:numRef>
              <c:f>Excenterpress!$K$4:$K$84</c:f>
              <c:numCache>
                <c:formatCode>General</c:formatCode>
                <c:ptCount val="81"/>
                <c:pt idx="0">
                  <c:v>500</c:v>
                </c:pt>
                <c:pt idx="1">
                  <c:v>498.74811977955392</c:v>
                </c:pt>
                <c:pt idx="2">
                  <c:v>495.00563936099195</c:v>
                </c:pt>
                <c:pt idx="3">
                  <c:v>488.8120195220846</c:v>
                </c:pt>
                <c:pt idx="4">
                  <c:v>480.23295722988166</c:v>
                </c:pt>
                <c:pt idx="5">
                  <c:v>469.36026265862256</c:v>
                </c:pt>
                <c:pt idx="6">
                  <c:v>456.31165129703902</c:v>
                </c:pt>
                <c:pt idx="7">
                  <c:v>441.23040903192691</c:v>
                </c:pt>
                <c:pt idx="8">
                  <c:v>424.28486705707928</c:v>
                </c:pt>
                <c:pt idx="9">
                  <c:v>405.66759627367787</c:v>
                </c:pt>
                <c:pt idx="10">
                  <c:v>385.59419765681992</c:v>
                </c:pt>
                <c:pt idx="11">
                  <c:v>364.3015281467309</c:v>
                </c:pt>
                <c:pt idx="12">
                  <c:v>342.04516691906036</c:v>
                </c:pt>
                <c:pt idx="13">
                  <c:v>319.09590566555948</c:v>
                </c:pt>
                <c:pt idx="14">
                  <c:v>295.7350563989832</c:v>
                </c:pt>
                <c:pt idx="15">
                  <c:v>272.24843400229611</c:v>
                </c:pt>
                <c:pt idx="16">
                  <c:v>248.91901030347543</c:v>
                </c:pt>
                <c:pt idx="17">
                  <c:v>226.01846132980967</c:v>
                </c:pt>
                <c:pt idx="18">
                  <c:v>203.7981201615645</c:v>
                </c:pt>
                <c:pt idx="19">
                  <c:v>182.48014331055185</c:v>
                </c:pt>
                <c:pt idx="20">
                  <c:v>162.24989991991993</c:v>
                </c:pt>
                <c:pt idx="21">
                  <c:v>143.2505954466294</c:v>
                </c:pt>
                <c:pt idx="22">
                  <c:v>125.58088764144901</c:v>
                </c:pt>
                <c:pt idx="23">
                  <c:v>109.29577940185703</c:v>
                </c:pt>
                <c:pt idx="24">
                  <c:v>94.410513116001738</c:v>
                </c:pt>
                <c:pt idx="25">
                  <c:v>80.906717819751208</c:v>
                </c:pt>
                <c:pt idx="26">
                  <c:v>68.739806529209773</c:v>
                </c:pt>
                <c:pt idx="27">
                  <c:v>57.846623307585048</c:v>
                </c:pt>
                <c:pt idx="28">
                  <c:v>48.152540772823812</c:v>
                </c:pt>
                <c:pt idx="29">
                  <c:v>39.577503981639182</c:v>
                </c:pt>
                <c:pt idx="30">
                  <c:v>32.040807063546225</c:v>
                </c:pt>
                <c:pt idx="31">
                  <c:v>25.464613473662411</c:v>
                </c:pt>
                <c:pt idx="32">
                  <c:v>19.776369869605645</c:v>
                </c:pt>
                <c:pt idx="33">
                  <c:v>14.910326854880907</c:v>
                </c:pt>
                <c:pt idx="34">
                  <c:v>10.808389202855125</c:v>
                </c:pt>
                <c:pt idx="35">
                  <c:v>7.4204964029792677</c:v>
                </c:pt>
                <c:pt idx="36">
                  <c:v>4.7046990823049271</c:v>
                </c:pt>
                <c:pt idx="37">
                  <c:v>2.6270593232463568</c:v>
                </c:pt>
                <c:pt idx="38">
                  <c:v>1.161469063423084</c:v>
                </c:pt>
                <c:pt idx="39">
                  <c:v>0.28945291298990128</c:v>
                </c:pt>
                <c:pt idx="40">
                  <c:v>0</c:v>
                </c:pt>
                <c:pt idx="41">
                  <c:v>0.28945291298987286</c:v>
                </c:pt>
                <c:pt idx="42">
                  <c:v>1.1614690634230556</c:v>
                </c:pt>
                <c:pt idx="43">
                  <c:v>2.6270593232463284</c:v>
                </c:pt>
                <c:pt idx="44">
                  <c:v>4.7046990823049271</c:v>
                </c:pt>
                <c:pt idx="45">
                  <c:v>7.4204964029792961</c:v>
                </c:pt>
                <c:pt idx="46">
                  <c:v>10.808389202855039</c:v>
                </c:pt>
                <c:pt idx="47">
                  <c:v>14.910326854880878</c:v>
                </c:pt>
                <c:pt idx="48">
                  <c:v>19.776369869605588</c:v>
                </c:pt>
                <c:pt idx="49">
                  <c:v>25.464613473662467</c:v>
                </c:pt>
                <c:pt idx="50">
                  <c:v>32.040807063546168</c:v>
                </c:pt>
                <c:pt idx="51">
                  <c:v>39.577503981639097</c:v>
                </c:pt>
                <c:pt idx="52">
                  <c:v>48.152540772823755</c:v>
                </c:pt>
                <c:pt idx="53">
                  <c:v>57.846623307584963</c:v>
                </c:pt>
                <c:pt idx="54">
                  <c:v>68.739806529209773</c:v>
                </c:pt>
                <c:pt idx="55">
                  <c:v>80.906717819751066</c:v>
                </c:pt>
                <c:pt idx="56">
                  <c:v>94.410513116001681</c:v>
                </c:pt>
                <c:pt idx="57">
                  <c:v>109.29577940185703</c:v>
                </c:pt>
                <c:pt idx="58">
                  <c:v>125.58088764144901</c:v>
                </c:pt>
                <c:pt idx="59">
                  <c:v>143.25059544662946</c:v>
                </c:pt>
                <c:pt idx="60">
                  <c:v>162.24989991991987</c:v>
                </c:pt>
                <c:pt idx="61">
                  <c:v>182.48014331055163</c:v>
                </c:pt>
                <c:pt idx="62">
                  <c:v>203.79812016156444</c:v>
                </c:pt>
                <c:pt idx="63">
                  <c:v>226.01846132980944</c:v>
                </c:pt>
                <c:pt idx="64">
                  <c:v>248.91901030347537</c:v>
                </c:pt>
                <c:pt idx="65">
                  <c:v>272.24843400229616</c:v>
                </c:pt>
                <c:pt idx="66">
                  <c:v>295.73505639898315</c:v>
                </c:pt>
                <c:pt idx="67">
                  <c:v>319.09590566555954</c:v>
                </c:pt>
                <c:pt idx="68">
                  <c:v>342.04516691906031</c:v>
                </c:pt>
                <c:pt idx="69">
                  <c:v>364.30152814673102</c:v>
                </c:pt>
                <c:pt idx="70">
                  <c:v>385.59419765681992</c:v>
                </c:pt>
                <c:pt idx="71">
                  <c:v>405.66759627367776</c:v>
                </c:pt>
                <c:pt idx="72">
                  <c:v>424.28486705707928</c:v>
                </c:pt>
                <c:pt idx="73">
                  <c:v>441.23040903192691</c:v>
                </c:pt>
                <c:pt idx="74">
                  <c:v>456.31165129703902</c:v>
                </c:pt>
                <c:pt idx="75">
                  <c:v>469.36026265862256</c:v>
                </c:pt>
                <c:pt idx="76">
                  <c:v>480.23295722988166</c:v>
                </c:pt>
                <c:pt idx="77">
                  <c:v>488.81201952208471</c:v>
                </c:pt>
                <c:pt idx="78">
                  <c:v>495.00563936099229</c:v>
                </c:pt>
                <c:pt idx="79">
                  <c:v>498.74811977955392</c:v>
                </c:pt>
                <c:pt idx="80">
                  <c:v>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A5-45C3-AC5C-9B42210A9380}"/>
            </c:ext>
          </c:extLst>
        </c:ser>
        <c:ser>
          <c:idx val="0"/>
          <c:order val="1"/>
          <c:tx>
            <c:v>KF Spring Motion</c:v>
          </c:tx>
          <c:marker>
            <c:symbol val="none"/>
          </c:marker>
          <c:xVal>
            <c:numRef>
              <c:f>Excenterpress!$G$4:$G$84</c:f>
              <c:numCache>
                <c:formatCode>General</c:formatCode>
                <c:ptCount val="8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0.22499999999999998</c:v>
                </c:pt>
                <c:pt idx="4">
                  <c:v>0.30000000000000004</c:v>
                </c:pt>
                <c:pt idx="5">
                  <c:v>0.375</c:v>
                </c:pt>
                <c:pt idx="6">
                  <c:v>0.44999999999999996</c:v>
                </c:pt>
                <c:pt idx="7">
                  <c:v>0.52499999999999991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0.82500000000000007</c:v>
                </c:pt>
                <c:pt idx="12">
                  <c:v>0.89999999999999991</c:v>
                </c:pt>
                <c:pt idx="13">
                  <c:v>0.97500000000000009</c:v>
                </c:pt>
                <c:pt idx="14">
                  <c:v>1.0499999999999998</c:v>
                </c:pt>
                <c:pt idx="15">
                  <c:v>1.125</c:v>
                </c:pt>
                <c:pt idx="16">
                  <c:v>1.2000000000000002</c:v>
                </c:pt>
                <c:pt idx="17">
                  <c:v>1.2749999999999999</c:v>
                </c:pt>
                <c:pt idx="18">
                  <c:v>1.35</c:v>
                </c:pt>
                <c:pt idx="19">
                  <c:v>1.4249999999999998</c:v>
                </c:pt>
                <c:pt idx="20">
                  <c:v>1.5</c:v>
                </c:pt>
                <c:pt idx="21">
                  <c:v>1.5750000000000002</c:v>
                </c:pt>
                <c:pt idx="22">
                  <c:v>1.6500000000000001</c:v>
                </c:pt>
                <c:pt idx="23">
                  <c:v>1.7249999999999999</c:v>
                </c:pt>
                <c:pt idx="24">
                  <c:v>1.7999999999999998</c:v>
                </c:pt>
                <c:pt idx="25">
                  <c:v>1.875</c:v>
                </c:pt>
                <c:pt idx="26">
                  <c:v>1.9500000000000002</c:v>
                </c:pt>
                <c:pt idx="27">
                  <c:v>2.0250000000000004</c:v>
                </c:pt>
                <c:pt idx="28">
                  <c:v>2.0999999999999996</c:v>
                </c:pt>
                <c:pt idx="29">
                  <c:v>2.1749999999999998</c:v>
                </c:pt>
                <c:pt idx="30">
                  <c:v>2.25</c:v>
                </c:pt>
                <c:pt idx="31">
                  <c:v>2.3250000000000002</c:v>
                </c:pt>
                <c:pt idx="32">
                  <c:v>2.4000000000000004</c:v>
                </c:pt>
                <c:pt idx="33">
                  <c:v>2.4749999999999996</c:v>
                </c:pt>
                <c:pt idx="34">
                  <c:v>2.5499999999999998</c:v>
                </c:pt>
                <c:pt idx="35">
                  <c:v>2.625</c:v>
                </c:pt>
                <c:pt idx="36">
                  <c:v>2.7</c:v>
                </c:pt>
                <c:pt idx="37">
                  <c:v>2.7750000000000004</c:v>
                </c:pt>
                <c:pt idx="38">
                  <c:v>2.8499999999999996</c:v>
                </c:pt>
                <c:pt idx="39">
                  <c:v>2.9249999999999998</c:v>
                </c:pt>
                <c:pt idx="40">
                  <c:v>3</c:v>
                </c:pt>
                <c:pt idx="41">
                  <c:v>3.0749999999999997</c:v>
                </c:pt>
                <c:pt idx="42">
                  <c:v>3.1500000000000004</c:v>
                </c:pt>
                <c:pt idx="43">
                  <c:v>3.2249999999999996</c:v>
                </c:pt>
                <c:pt idx="44">
                  <c:v>3.3000000000000003</c:v>
                </c:pt>
                <c:pt idx="45">
                  <c:v>3.375</c:v>
                </c:pt>
                <c:pt idx="46">
                  <c:v>3.4499999999999997</c:v>
                </c:pt>
                <c:pt idx="47">
                  <c:v>3.5250000000000004</c:v>
                </c:pt>
                <c:pt idx="48">
                  <c:v>3.5999999999999996</c:v>
                </c:pt>
                <c:pt idx="49">
                  <c:v>3.6750000000000003</c:v>
                </c:pt>
                <c:pt idx="50">
                  <c:v>3.75</c:v>
                </c:pt>
                <c:pt idx="51">
                  <c:v>3.8249999999999997</c:v>
                </c:pt>
                <c:pt idx="52">
                  <c:v>3.9000000000000004</c:v>
                </c:pt>
                <c:pt idx="53">
                  <c:v>3.9749999999999996</c:v>
                </c:pt>
                <c:pt idx="54">
                  <c:v>4.0500000000000007</c:v>
                </c:pt>
                <c:pt idx="55">
                  <c:v>4.125</c:v>
                </c:pt>
                <c:pt idx="56">
                  <c:v>4.1999999999999993</c:v>
                </c:pt>
                <c:pt idx="57">
                  <c:v>4.2750000000000004</c:v>
                </c:pt>
                <c:pt idx="58">
                  <c:v>4.3499999999999996</c:v>
                </c:pt>
                <c:pt idx="59">
                  <c:v>4.4250000000000007</c:v>
                </c:pt>
                <c:pt idx="60">
                  <c:v>4.5</c:v>
                </c:pt>
                <c:pt idx="61">
                  <c:v>4.5749999999999993</c:v>
                </c:pt>
                <c:pt idx="62">
                  <c:v>4.6500000000000004</c:v>
                </c:pt>
                <c:pt idx="63">
                  <c:v>4.7249999999999996</c:v>
                </c:pt>
                <c:pt idx="64">
                  <c:v>4.8000000000000007</c:v>
                </c:pt>
                <c:pt idx="65">
                  <c:v>4.875</c:v>
                </c:pt>
                <c:pt idx="66">
                  <c:v>4.9499999999999993</c:v>
                </c:pt>
                <c:pt idx="67">
                  <c:v>5.0250000000000004</c:v>
                </c:pt>
                <c:pt idx="68">
                  <c:v>5.0999999999999996</c:v>
                </c:pt>
                <c:pt idx="69">
                  <c:v>5.1750000000000007</c:v>
                </c:pt>
                <c:pt idx="70">
                  <c:v>5.25</c:v>
                </c:pt>
                <c:pt idx="71">
                  <c:v>5.3249999999999993</c:v>
                </c:pt>
                <c:pt idx="72">
                  <c:v>5.4</c:v>
                </c:pt>
                <c:pt idx="73">
                  <c:v>5.4749999999999996</c:v>
                </c:pt>
                <c:pt idx="74">
                  <c:v>5.5500000000000007</c:v>
                </c:pt>
                <c:pt idx="75">
                  <c:v>5.625</c:v>
                </c:pt>
                <c:pt idx="76">
                  <c:v>5.6999999999999993</c:v>
                </c:pt>
                <c:pt idx="77">
                  <c:v>5.7750000000000004</c:v>
                </c:pt>
                <c:pt idx="78">
                  <c:v>5.8500000000000059</c:v>
                </c:pt>
                <c:pt idx="79">
                  <c:v>5.9250000000000007</c:v>
                </c:pt>
                <c:pt idx="80">
                  <c:v>6</c:v>
                </c:pt>
              </c:numCache>
            </c:numRef>
          </c:xVal>
          <c:yVal>
            <c:numRef>
              <c:f>Excenterpress!$N$4:$N$84</c:f>
              <c:numCache>
                <c:formatCode>General</c:formatCode>
                <c:ptCount val="81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4.7046990823049271</c:v>
                </c:pt>
                <c:pt idx="37">
                  <c:v>2.6270593232463568</c:v>
                </c:pt>
                <c:pt idx="38">
                  <c:v>1.161469063423084</c:v>
                </c:pt>
                <c:pt idx="39">
                  <c:v>0.28945291298990128</c:v>
                </c:pt>
                <c:pt idx="40">
                  <c:v>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3A5-45C3-AC5C-9B42210A9380}"/>
            </c:ext>
          </c:extLst>
        </c:ser>
        <c:ser>
          <c:idx val="3"/>
          <c:order val="3"/>
          <c:tx>
            <c:v>Return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Excenterpress!$G$4:$G$84</c:f>
              <c:numCache>
                <c:formatCode>General</c:formatCode>
                <c:ptCount val="8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0.22499999999999998</c:v>
                </c:pt>
                <c:pt idx="4">
                  <c:v>0.30000000000000004</c:v>
                </c:pt>
                <c:pt idx="5">
                  <c:v>0.375</c:v>
                </c:pt>
                <c:pt idx="6">
                  <c:v>0.44999999999999996</c:v>
                </c:pt>
                <c:pt idx="7">
                  <c:v>0.52499999999999991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0.82500000000000007</c:v>
                </c:pt>
                <c:pt idx="12">
                  <c:v>0.89999999999999991</c:v>
                </c:pt>
                <c:pt idx="13">
                  <c:v>0.97500000000000009</c:v>
                </c:pt>
                <c:pt idx="14">
                  <c:v>1.0499999999999998</c:v>
                </c:pt>
                <c:pt idx="15">
                  <c:v>1.125</c:v>
                </c:pt>
                <c:pt idx="16">
                  <c:v>1.2000000000000002</c:v>
                </c:pt>
                <c:pt idx="17">
                  <c:v>1.2749999999999999</c:v>
                </c:pt>
                <c:pt idx="18">
                  <c:v>1.35</c:v>
                </c:pt>
                <c:pt idx="19">
                  <c:v>1.4249999999999998</c:v>
                </c:pt>
                <c:pt idx="20">
                  <c:v>1.5</c:v>
                </c:pt>
                <c:pt idx="21">
                  <c:v>1.5750000000000002</c:v>
                </c:pt>
                <c:pt idx="22">
                  <c:v>1.6500000000000001</c:v>
                </c:pt>
                <c:pt idx="23">
                  <c:v>1.7249999999999999</c:v>
                </c:pt>
                <c:pt idx="24">
                  <c:v>1.7999999999999998</c:v>
                </c:pt>
                <c:pt idx="25">
                  <c:v>1.875</c:v>
                </c:pt>
                <c:pt idx="26">
                  <c:v>1.9500000000000002</c:v>
                </c:pt>
                <c:pt idx="27">
                  <c:v>2.0250000000000004</c:v>
                </c:pt>
                <c:pt idx="28">
                  <c:v>2.0999999999999996</c:v>
                </c:pt>
                <c:pt idx="29">
                  <c:v>2.1749999999999998</c:v>
                </c:pt>
                <c:pt idx="30">
                  <c:v>2.25</c:v>
                </c:pt>
                <c:pt idx="31">
                  <c:v>2.3250000000000002</c:v>
                </c:pt>
                <c:pt idx="32">
                  <c:v>2.4000000000000004</c:v>
                </c:pt>
                <c:pt idx="33">
                  <c:v>2.4749999999999996</c:v>
                </c:pt>
                <c:pt idx="34">
                  <c:v>2.5499999999999998</c:v>
                </c:pt>
                <c:pt idx="35">
                  <c:v>2.625</c:v>
                </c:pt>
                <c:pt idx="36">
                  <c:v>2.7</c:v>
                </c:pt>
                <c:pt idx="37">
                  <c:v>2.7750000000000004</c:v>
                </c:pt>
                <c:pt idx="38">
                  <c:v>2.8499999999999996</c:v>
                </c:pt>
                <c:pt idx="39">
                  <c:v>2.9249999999999998</c:v>
                </c:pt>
                <c:pt idx="40">
                  <c:v>3</c:v>
                </c:pt>
                <c:pt idx="41">
                  <c:v>3.0749999999999997</c:v>
                </c:pt>
                <c:pt idx="42">
                  <c:v>3.1500000000000004</c:v>
                </c:pt>
                <c:pt idx="43">
                  <c:v>3.2249999999999996</c:v>
                </c:pt>
                <c:pt idx="44">
                  <c:v>3.3000000000000003</c:v>
                </c:pt>
                <c:pt idx="45">
                  <c:v>3.375</c:v>
                </c:pt>
                <c:pt idx="46">
                  <c:v>3.4499999999999997</c:v>
                </c:pt>
                <c:pt idx="47">
                  <c:v>3.5250000000000004</c:v>
                </c:pt>
                <c:pt idx="48">
                  <c:v>3.5999999999999996</c:v>
                </c:pt>
                <c:pt idx="49">
                  <c:v>3.6750000000000003</c:v>
                </c:pt>
                <c:pt idx="50">
                  <c:v>3.75</c:v>
                </c:pt>
                <c:pt idx="51">
                  <c:v>3.8249999999999997</c:v>
                </c:pt>
                <c:pt idx="52">
                  <c:v>3.9000000000000004</c:v>
                </c:pt>
                <c:pt idx="53">
                  <c:v>3.9749999999999996</c:v>
                </c:pt>
                <c:pt idx="54">
                  <c:v>4.0500000000000007</c:v>
                </c:pt>
                <c:pt idx="55">
                  <c:v>4.125</c:v>
                </c:pt>
                <c:pt idx="56">
                  <c:v>4.1999999999999993</c:v>
                </c:pt>
                <c:pt idx="57">
                  <c:v>4.2750000000000004</c:v>
                </c:pt>
                <c:pt idx="58">
                  <c:v>4.3499999999999996</c:v>
                </c:pt>
                <c:pt idx="59">
                  <c:v>4.4250000000000007</c:v>
                </c:pt>
                <c:pt idx="60">
                  <c:v>4.5</c:v>
                </c:pt>
                <c:pt idx="61">
                  <c:v>4.5749999999999993</c:v>
                </c:pt>
                <c:pt idx="62">
                  <c:v>4.6500000000000004</c:v>
                </c:pt>
                <c:pt idx="63">
                  <c:v>4.7249999999999996</c:v>
                </c:pt>
                <c:pt idx="64">
                  <c:v>4.8000000000000007</c:v>
                </c:pt>
                <c:pt idx="65">
                  <c:v>4.875</c:v>
                </c:pt>
                <c:pt idx="66">
                  <c:v>4.9499999999999993</c:v>
                </c:pt>
                <c:pt idx="67">
                  <c:v>5.0250000000000004</c:v>
                </c:pt>
                <c:pt idx="68">
                  <c:v>5.0999999999999996</c:v>
                </c:pt>
                <c:pt idx="69">
                  <c:v>5.1750000000000007</c:v>
                </c:pt>
                <c:pt idx="70">
                  <c:v>5.25</c:v>
                </c:pt>
                <c:pt idx="71">
                  <c:v>5.3249999999999993</c:v>
                </c:pt>
                <c:pt idx="72">
                  <c:v>5.4</c:v>
                </c:pt>
                <c:pt idx="73">
                  <c:v>5.4749999999999996</c:v>
                </c:pt>
                <c:pt idx="74">
                  <c:v>5.5500000000000007</c:v>
                </c:pt>
                <c:pt idx="75">
                  <c:v>5.625</c:v>
                </c:pt>
                <c:pt idx="76">
                  <c:v>5.6999999999999993</c:v>
                </c:pt>
                <c:pt idx="77">
                  <c:v>5.7750000000000004</c:v>
                </c:pt>
                <c:pt idx="78">
                  <c:v>5.8500000000000059</c:v>
                </c:pt>
                <c:pt idx="79">
                  <c:v>5.9250000000000007</c:v>
                </c:pt>
                <c:pt idx="80">
                  <c:v>6</c:v>
                </c:pt>
              </c:numCache>
            </c:numRef>
          </c:xVal>
          <c:yVal>
            <c:numRef>
              <c:f>Excenterpress!$P$4:$P$84</c:f>
              <c:numCache>
                <c:formatCode>General</c:formatCode>
                <c:ptCount val="81"/>
                <c:pt idx="0">
                  <c:v>-800</c:v>
                </c:pt>
                <c:pt idx="1">
                  <c:v>-785</c:v>
                </c:pt>
                <c:pt idx="2">
                  <c:v>-770</c:v>
                </c:pt>
                <c:pt idx="3">
                  <c:v>-755</c:v>
                </c:pt>
                <c:pt idx="4">
                  <c:v>-740</c:v>
                </c:pt>
                <c:pt idx="5">
                  <c:v>-725</c:v>
                </c:pt>
                <c:pt idx="6">
                  <c:v>-710</c:v>
                </c:pt>
                <c:pt idx="7">
                  <c:v>-695</c:v>
                </c:pt>
                <c:pt idx="8">
                  <c:v>-680</c:v>
                </c:pt>
                <c:pt idx="9">
                  <c:v>-665</c:v>
                </c:pt>
                <c:pt idx="10">
                  <c:v>-650</c:v>
                </c:pt>
                <c:pt idx="11">
                  <c:v>-635</c:v>
                </c:pt>
                <c:pt idx="12">
                  <c:v>-620</c:v>
                </c:pt>
                <c:pt idx="13">
                  <c:v>-605</c:v>
                </c:pt>
                <c:pt idx="14">
                  <c:v>-590</c:v>
                </c:pt>
                <c:pt idx="15">
                  <c:v>-575</c:v>
                </c:pt>
                <c:pt idx="16">
                  <c:v>-560</c:v>
                </c:pt>
                <c:pt idx="17">
                  <c:v>-545</c:v>
                </c:pt>
                <c:pt idx="18">
                  <c:v>-530</c:v>
                </c:pt>
                <c:pt idx="19">
                  <c:v>-515</c:v>
                </c:pt>
                <c:pt idx="20">
                  <c:v>-500</c:v>
                </c:pt>
                <c:pt idx="21">
                  <c:v>-484.99999999999994</c:v>
                </c:pt>
                <c:pt idx="22">
                  <c:v>-470</c:v>
                </c:pt>
                <c:pt idx="23">
                  <c:v>-455</c:v>
                </c:pt>
                <c:pt idx="24">
                  <c:v>-440.00000000000006</c:v>
                </c:pt>
                <c:pt idx="25">
                  <c:v>-425</c:v>
                </c:pt>
                <c:pt idx="26">
                  <c:v>-409.99999999999994</c:v>
                </c:pt>
                <c:pt idx="27">
                  <c:v>-394.99999999999994</c:v>
                </c:pt>
                <c:pt idx="28">
                  <c:v>-380.00000000000006</c:v>
                </c:pt>
                <c:pt idx="29">
                  <c:v>-365.00000000000006</c:v>
                </c:pt>
                <c:pt idx="30">
                  <c:v>-350</c:v>
                </c:pt>
                <c:pt idx="31">
                  <c:v>-334.99999999999994</c:v>
                </c:pt>
                <c:pt idx="32">
                  <c:v>-319.99999999999994</c:v>
                </c:pt>
                <c:pt idx="33">
                  <c:v>-305.00000000000006</c:v>
                </c:pt>
                <c:pt idx="34">
                  <c:v>-290.00000000000006</c:v>
                </c:pt>
                <c:pt idx="35">
                  <c:v>-275</c:v>
                </c:pt>
                <c:pt idx="36">
                  <c:v>-260</c:v>
                </c:pt>
                <c:pt idx="37">
                  <c:v>-244.99999999999989</c:v>
                </c:pt>
                <c:pt idx="38">
                  <c:v>-230.00000000000011</c:v>
                </c:pt>
                <c:pt idx="39">
                  <c:v>-215</c:v>
                </c:pt>
                <c:pt idx="40">
                  <c:v>-200</c:v>
                </c:pt>
                <c:pt idx="41">
                  <c:v>-185</c:v>
                </c:pt>
                <c:pt idx="42">
                  <c:v>-169.99999999999989</c:v>
                </c:pt>
                <c:pt idx="43">
                  <c:v>-155.00000000000011</c:v>
                </c:pt>
                <c:pt idx="44">
                  <c:v>-140</c:v>
                </c:pt>
                <c:pt idx="45">
                  <c:v>-125</c:v>
                </c:pt>
                <c:pt idx="46">
                  <c:v>-110</c:v>
                </c:pt>
                <c:pt idx="47">
                  <c:v>-94.999999999999886</c:v>
                </c:pt>
                <c:pt idx="48">
                  <c:v>-80.000000000000114</c:v>
                </c:pt>
                <c:pt idx="49">
                  <c:v>-65</c:v>
                </c:pt>
                <c:pt idx="50">
                  <c:v>-50</c:v>
                </c:pt>
                <c:pt idx="51">
                  <c:v>-35</c:v>
                </c:pt>
                <c:pt idx="52">
                  <c:v>-19.999999999999886</c:v>
                </c:pt>
                <c:pt idx="53">
                  <c:v>-5.0000000000001137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3A5-45C3-AC5C-9B42210A9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815232"/>
        <c:axId val="206817152"/>
      </c:scatterChart>
      <c:valAx>
        <c:axId val="20681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>
            <c:manualLayout>
              <c:xMode val="edge"/>
              <c:yMode val="edge"/>
              <c:x val="0.3793610375037359"/>
              <c:y val="0.9034163705176220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6817152"/>
        <c:crosses val="autoZero"/>
        <c:crossBetween val="midCat"/>
      </c:valAx>
      <c:valAx>
        <c:axId val="206817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v-SE"/>
                  <a:t>Stroke (mm)</a:t>
                </a:r>
              </a:p>
            </c:rich>
          </c:tx>
          <c:layout>
            <c:manualLayout>
              <c:xMode val="edge"/>
              <c:yMode val="edge"/>
              <c:x val="2.8197356331324117E-2"/>
              <c:y val="0.379139187910105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6815232"/>
        <c:crosses val="autoZero"/>
        <c:crossBetween val="midCat"/>
      </c:valAx>
    </c:plotArea>
    <c:legend>
      <c:legendPos val="r"/>
      <c:legendEntry>
        <c:idx val="3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 sz="1400" b="0">
                <a:latin typeface="Arial" panose="020B0604020202020204" pitchFamily="34" charset="0"/>
                <a:cs typeface="Arial" panose="020B0604020202020204" pitchFamily="34" charset="0"/>
              </a:rPr>
              <a:t>Cooling Utilisation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90430887543771"/>
          <c:y val="0.15763676790382877"/>
          <c:w val="0.85402201671038558"/>
          <c:h val="0.70970329285475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Calculator!$U$49</c:f>
              <c:strCache>
                <c:ptCount val="1"/>
                <c:pt idx="0">
                  <c:v>No cooling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strRef>
              <c:f>Calculator!$U$49</c:f>
              <c:strCache>
                <c:ptCount val="1"/>
                <c:pt idx="0">
                  <c:v>No cooling</c:v>
                </c:pt>
              </c:strCache>
            </c:strRef>
          </c:cat>
          <c:val>
            <c:numRef>
              <c:f>Calculator!$X$49</c:f>
              <c:numCache>
                <c:formatCode>0%</c:formatCode>
                <c:ptCount val="1"/>
                <c:pt idx="0">
                  <c:v>0.11865901078729067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7-4707-8C94-003B1FF41F7A}"/>
            </c:ext>
          </c:extLst>
        </c:ser>
        <c:ser>
          <c:idx val="1"/>
          <c:order val="1"/>
          <c:tx>
            <c:strRef>
              <c:f>Calculator!$U$50</c:f>
              <c:strCache>
                <c:ptCount val="1"/>
                <c:pt idx="0">
                  <c:v>Liquid cooling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val>
            <c:numRef>
              <c:f>Calculator!$X$50</c:f>
              <c:numCache>
                <c:formatCode>0%</c:formatCode>
                <c:ptCount val="1"/>
                <c:pt idx="0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7-4707-8C94-003B1FF41F7A}"/>
            </c:ext>
          </c:extLst>
        </c:ser>
        <c:ser>
          <c:idx val="2"/>
          <c:order val="2"/>
          <c:tx>
            <c:strRef>
              <c:f>Calculator!$U$51</c:f>
              <c:strCache>
                <c:ptCount val="1"/>
                <c:pt idx="0">
                  <c:v>Nitro Cooler</c:v>
                </c:pt>
              </c:strCache>
            </c:strRef>
          </c:tx>
          <c:spPr>
            <a:solidFill>
              <a:srgbClr val="F0EA00"/>
            </a:solidFill>
          </c:spPr>
          <c:invertIfNegative val="0"/>
          <c:val>
            <c:numRef>
              <c:f>Calculator!$X$51</c:f>
              <c:numCache>
                <c:formatCode>0%</c:formatCode>
                <c:ptCount val="1"/>
                <c:pt idx="0">
                  <c:v>1.5625E-2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67-4707-8C94-003B1FF41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10"/>
        <c:axId val="184666368"/>
        <c:axId val="184352768"/>
      </c:barChart>
      <c:catAx>
        <c:axId val="18466636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4352768"/>
        <c:crosses val="autoZero"/>
        <c:auto val="1"/>
        <c:lblAlgn val="ctr"/>
        <c:lblOffset val="100"/>
        <c:noMultiLvlLbl val="0"/>
      </c:catAx>
      <c:valAx>
        <c:axId val="184352768"/>
        <c:scaling>
          <c:orientation val="minMax"/>
          <c:max val="1.5"/>
          <c:min val="0"/>
        </c:scaling>
        <c:delete val="0"/>
        <c:axPos val="l"/>
        <c:majorGridlines>
          <c:spPr>
            <a:ln w="12700">
              <a:solidFill>
                <a:srgbClr val="FF0000"/>
              </a:solidFill>
            </a:ln>
          </c:spPr>
        </c:majorGridlines>
        <c:numFmt formatCode="0%" sourceLinked="1"/>
        <c:majorTickMark val="none"/>
        <c:minorTickMark val="none"/>
        <c:tickLblPos val="nextTo"/>
        <c:spPr>
          <a:ln w="0"/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sv-SE"/>
          </a:p>
        </c:txPr>
        <c:crossAx val="184666368"/>
        <c:crosses val="autoZero"/>
        <c:crossBetween val="between"/>
        <c:majorUnit val="1"/>
      </c:valAx>
      <c:spPr>
        <a:solidFill>
          <a:schemeClr val="bg1">
            <a:lumMod val="85000"/>
          </a:scheme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9.0518419456611071E-2"/>
          <c:y val="0.88840813217076064"/>
          <c:w val="0.85726864253924884"/>
          <c:h val="8.3789948840090805E-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KF 1500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trendline>
            <c:trendlineType val="linear"/>
            <c:dispRSqr val="0"/>
            <c:dispEq val="1"/>
            <c:trendlineLbl>
              <c:layout>
                <c:manualLayout>
                  <c:x val="0.44175619408830441"/>
                  <c:y val="-0.16448616999798102"/>
                </c:manualLayout>
              </c:layout>
              <c:numFmt formatCode="General" sourceLinked="0"/>
            </c:trendlineLbl>
          </c:trendline>
          <c:xVal>
            <c:numRef>
              <c:f>Heat_Factor!$F$82:$F$98</c:f>
              <c:numCache>
                <c:formatCode>General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</c:numCache>
            </c:numRef>
          </c:xVal>
          <c:yVal>
            <c:numRef>
              <c:f>Heat_Factor!$G$82:$G$98</c:f>
              <c:numCache>
                <c:formatCode>General</c:formatCode>
                <c:ptCount val="17"/>
                <c:pt idx="0">
                  <c:v>423</c:v>
                </c:pt>
                <c:pt idx="1">
                  <c:v>420</c:v>
                </c:pt>
                <c:pt idx="2">
                  <c:v>417</c:v>
                </c:pt>
                <c:pt idx="3">
                  <c:v>415</c:v>
                </c:pt>
                <c:pt idx="4">
                  <c:v>412</c:v>
                </c:pt>
                <c:pt idx="5">
                  <c:v>409</c:v>
                </c:pt>
                <c:pt idx="6">
                  <c:v>407</c:v>
                </c:pt>
                <c:pt idx="7">
                  <c:v>404</c:v>
                </c:pt>
                <c:pt idx="8">
                  <c:v>401</c:v>
                </c:pt>
                <c:pt idx="9">
                  <c:v>399</c:v>
                </c:pt>
                <c:pt idx="10">
                  <c:v>396</c:v>
                </c:pt>
                <c:pt idx="11">
                  <c:v>393</c:v>
                </c:pt>
                <c:pt idx="12">
                  <c:v>391</c:v>
                </c:pt>
                <c:pt idx="13">
                  <c:v>388</c:v>
                </c:pt>
                <c:pt idx="14">
                  <c:v>385</c:v>
                </c:pt>
                <c:pt idx="15">
                  <c:v>383</c:v>
                </c:pt>
                <c:pt idx="16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9A-47A6-BD4A-F8F20D40F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806016"/>
        <c:axId val="185074432"/>
      </c:scatterChart>
      <c:valAx>
        <c:axId val="18480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v-SE"/>
                  <a:t>Stroke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5074432"/>
        <c:crosses val="autoZero"/>
        <c:crossBetween val="midCat"/>
      </c:valAx>
      <c:valAx>
        <c:axId val="1850744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sv-SE"/>
                  <a:t>HF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48060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KF 3000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trendline>
            <c:trendlineType val="linear"/>
            <c:dispRSqr val="0"/>
            <c:dispEq val="1"/>
            <c:trendlineLbl>
              <c:layout>
                <c:manualLayout>
                  <c:x val="0.46638670166229224"/>
                  <c:y val="-0.26451879285840257"/>
                </c:manualLayout>
              </c:layout>
              <c:numFmt formatCode="General" sourceLinked="0"/>
            </c:trendlineLbl>
          </c:trendline>
          <c:xVal>
            <c:numRef>
              <c:f>Heat_Factor!$F$82:$F$98</c:f>
              <c:numCache>
                <c:formatCode>General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</c:numCache>
            </c:numRef>
          </c:xVal>
          <c:yVal>
            <c:numRef>
              <c:f>Heat_Factor!$H$82:$H$98</c:f>
              <c:numCache>
                <c:formatCode>General</c:formatCode>
                <c:ptCount val="17"/>
                <c:pt idx="0">
                  <c:v>374</c:v>
                </c:pt>
                <c:pt idx="1">
                  <c:v>365</c:v>
                </c:pt>
                <c:pt idx="2">
                  <c:v>355</c:v>
                </c:pt>
                <c:pt idx="3">
                  <c:v>346</c:v>
                </c:pt>
                <c:pt idx="4">
                  <c:v>336</c:v>
                </c:pt>
                <c:pt idx="5">
                  <c:v>327</c:v>
                </c:pt>
                <c:pt idx="6">
                  <c:v>318</c:v>
                </c:pt>
                <c:pt idx="7">
                  <c:v>308</c:v>
                </c:pt>
                <c:pt idx="8">
                  <c:v>299</c:v>
                </c:pt>
                <c:pt idx="9">
                  <c:v>289</c:v>
                </c:pt>
                <c:pt idx="10">
                  <c:v>280</c:v>
                </c:pt>
                <c:pt idx="11">
                  <c:v>271</c:v>
                </c:pt>
                <c:pt idx="12">
                  <c:v>261</c:v>
                </c:pt>
                <c:pt idx="13">
                  <c:v>252</c:v>
                </c:pt>
                <c:pt idx="14">
                  <c:v>242</c:v>
                </c:pt>
                <c:pt idx="15">
                  <c:v>233</c:v>
                </c:pt>
                <c:pt idx="16">
                  <c:v>224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28-487D-BF78-E2B317256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109888"/>
        <c:axId val="185116160"/>
      </c:scatterChart>
      <c:valAx>
        <c:axId val="18510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v-SE"/>
                  <a:t>Stroke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5116160"/>
        <c:crosses val="autoZero"/>
        <c:crossBetween val="midCat"/>
      </c:valAx>
      <c:valAx>
        <c:axId val="1851161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sv-SE"/>
                  <a:t>HF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51098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KF 5000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trendline>
            <c:trendlineType val="linear"/>
            <c:dispRSqr val="0"/>
            <c:dispEq val="1"/>
            <c:trendlineLbl>
              <c:layout>
                <c:manualLayout>
                  <c:x val="0.46213921149038428"/>
                  <c:y val="-0.30018598353938791"/>
                </c:manualLayout>
              </c:layout>
              <c:numFmt formatCode="General" sourceLinked="0"/>
            </c:trendlineLbl>
          </c:trendline>
          <c:xVal>
            <c:numRef>
              <c:f>Heat_Factor!$F$82:$F$98</c:f>
              <c:numCache>
                <c:formatCode>General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</c:numCache>
            </c:numRef>
          </c:xVal>
          <c:yVal>
            <c:numRef>
              <c:f>Heat_Factor!$I$82:$I$98</c:f>
              <c:numCache>
                <c:formatCode>General</c:formatCode>
                <c:ptCount val="17"/>
                <c:pt idx="0">
                  <c:v>329</c:v>
                </c:pt>
                <c:pt idx="1">
                  <c:v>320</c:v>
                </c:pt>
                <c:pt idx="2">
                  <c:v>311</c:v>
                </c:pt>
                <c:pt idx="3">
                  <c:v>302</c:v>
                </c:pt>
                <c:pt idx="4">
                  <c:v>293</c:v>
                </c:pt>
                <c:pt idx="5">
                  <c:v>284</c:v>
                </c:pt>
                <c:pt idx="6">
                  <c:v>276</c:v>
                </c:pt>
                <c:pt idx="7">
                  <c:v>267</c:v>
                </c:pt>
                <c:pt idx="8">
                  <c:v>258</c:v>
                </c:pt>
                <c:pt idx="9">
                  <c:v>249</c:v>
                </c:pt>
                <c:pt idx="10">
                  <c:v>240</c:v>
                </c:pt>
                <c:pt idx="11">
                  <c:v>231</c:v>
                </c:pt>
                <c:pt idx="12">
                  <c:v>222</c:v>
                </c:pt>
                <c:pt idx="13">
                  <c:v>213</c:v>
                </c:pt>
                <c:pt idx="14">
                  <c:v>204</c:v>
                </c:pt>
                <c:pt idx="15">
                  <c:v>196</c:v>
                </c:pt>
                <c:pt idx="16">
                  <c:v>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FB8-47D1-B58D-578270970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79328"/>
        <c:axId val="206189696"/>
      </c:scatterChart>
      <c:valAx>
        <c:axId val="20617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v-SE"/>
                  <a:t>Stroke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06189696"/>
        <c:crosses val="autoZero"/>
        <c:crossBetween val="midCat"/>
      </c:valAx>
      <c:valAx>
        <c:axId val="20618969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sv-SE"/>
                  <a:t>HF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061793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KF 7500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trendline>
            <c:trendlineType val="linear"/>
            <c:dispRSqr val="0"/>
            <c:dispEq val="1"/>
            <c:trendlineLbl>
              <c:layout>
                <c:manualLayout>
                  <c:x val="0.42167317557155221"/>
                  <c:y val="-0.32169045275590552"/>
                </c:manualLayout>
              </c:layout>
              <c:numFmt formatCode="General" sourceLinked="0"/>
            </c:trendlineLbl>
          </c:trendline>
          <c:xVal>
            <c:numRef>
              <c:f>Heat_Factor!$F$82:$F$98</c:f>
              <c:numCache>
                <c:formatCode>General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</c:numCache>
            </c:numRef>
          </c:xVal>
          <c:yVal>
            <c:numRef>
              <c:f>Heat_Factor!$J$82:$J$98</c:f>
              <c:numCache>
                <c:formatCode>General</c:formatCode>
                <c:ptCount val="17"/>
                <c:pt idx="0">
                  <c:v>309</c:v>
                </c:pt>
                <c:pt idx="1">
                  <c:v>300</c:v>
                </c:pt>
                <c:pt idx="2">
                  <c:v>291</c:v>
                </c:pt>
                <c:pt idx="3">
                  <c:v>282</c:v>
                </c:pt>
                <c:pt idx="4">
                  <c:v>273</c:v>
                </c:pt>
                <c:pt idx="5">
                  <c:v>264</c:v>
                </c:pt>
                <c:pt idx="6">
                  <c:v>256</c:v>
                </c:pt>
                <c:pt idx="7">
                  <c:v>247</c:v>
                </c:pt>
                <c:pt idx="8">
                  <c:v>238</c:v>
                </c:pt>
                <c:pt idx="9">
                  <c:v>229</c:v>
                </c:pt>
                <c:pt idx="10">
                  <c:v>220</c:v>
                </c:pt>
                <c:pt idx="11">
                  <c:v>211</c:v>
                </c:pt>
                <c:pt idx="12">
                  <c:v>202</c:v>
                </c:pt>
                <c:pt idx="13">
                  <c:v>193</c:v>
                </c:pt>
                <c:pt idx="14">
                  <c:v>184</c:v>
                </c:pt>
                <c:pt idx="15">
                  <c:v>176</c:v>
                </c:pt>
                <c:pt idx="16">
                  <c:v>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67-41D0-A0BC-B9A3504DE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221696"/>
        <c:axId val="206223616"/>
      </c:scatterChart>
      <c:valAx>
        <c:axId val="20622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v-SE"/>
                  <a:t>Stroke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06223616"/>
        <c:crosses val="autoZero"/>
        <c:crossBetween val="midCat"/>
      </c:valAx>
      <c:valAx>
        <c:axId val="20622361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sv-SE"/>
                  <a:t>HF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06221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v-SE"/>
              <a:t>Press and KF Spring Cycle</a:t>
            </a:r>
          </a:p>
        </c:rich>
      </c:tx>
      <c:layout>
        <c:manualLayout>
          <c:xMode val="edge"/>
          <c:yMode val="edge"/>
          <c:x val="0.30603934123619164"/>
          <c:y val="2.6548672566371681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locked spring</c:v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xVal>
            <c:numRef>
              <c:f>Excenterpress!$G$4:$G$84</c:f>
              <c:numCache>
                <c:formatCode>General</c:formatCode>
                <c:ptCount val="8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0.22499999999999998</c:v>
                </c:pt>
                <c:pt idx="4">
                  <c:v>0.30000000000000004</c:v>
                </c:pt>
                <c:pt idx="5">
                  <c:v>0.375</c:v>
                </c:pt>
                <c:pt idx="6">
                  <c:v>0.44999999999999996</c:v>
                </c:pt>
                <c:pt idx="7">
                  <c:v>0.52499999999999991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0.82500000000000007</c:v>
                </c:pt>
                <c:pt idx="12">
                  <c:v>0.89999999999999991</c:v>
                </c:pt>
                <c:pt idx="13">
                  <c:v>0.97500000000000009</c:v>
                </c:pt>
                <c:pt idx="14">
                  <c:v>1.0499999999999998</c:v>
                </c:pt>
                <c:pt idx="15">
                  <c:v>1.125</c:v>
                </c:pt>
                <c:pt idx="16">
                  <c:v>1.2000000000000002</c:v>
                </c:pt>
                <c:pt idx="17">
                  <c:v>1.2749999999999999</c:v>
                </c:pt>
                <c:pt idx="18">
                  <c:v>1.35</c:v>
                </c:pt>
                <c:pt idx="19">
                  <c:v>1.4249999999999998</c:v>
                </c:pt>
                <c:pt idx="20">
                  <c:v>1.5</c:v>
                </c:pt>
                <c:pt idx="21">
                  <c:v>1.5750000000000002</c:v>
                </c:pt>
                <c:pt idx="22">
                  <c:v>1.6500000000000001</c:v>
                </c:pt>
                <c:pt idx="23">
                  <c:v>1.7249999999999999</c:v>
                </c:pt>
                <c:pt idx="24">
                  <c:v>1.7999999999999998</c:v>
                </c:pt>
                <c:pt idx="25">
                  <c:v>1.875</c:v>
                </c:pt>
                <c:pt idx="26">
                  <c:v>1.9500000000000002</c:v>
                </c:pt>
                <c:pt idx="27">
                  <c:v>2.0250000000000004</c:v>
                </c:pt>
                <c:pt idx="28">
                  <c:v>2.0999999999999996</c:v>
                </c:pt>
                <c:pt idx="29">
                  <c:v>2.1749999999999998</c:v>
                </c:pt>
                <c:pt idx="30">
                  <c:v>2.25</c:v>
                </c:pt>
                <c:pt idx="31">
                  <c:v>2.3250000000000002</c:v>
                </c:pt>
                <c:pt idx="32">
                  <c:v>2.4000000000000004</c:v>
                </c:pt>
                <c:pt idx="33">
                  <c:v>2.4749999999999996</c:v>
                </c:pt>
                <c:pt idx="34">
                  <c:v>2.5499999999999998</c:v>
                </c:pt>
                <c:pt idx="35">
                  <c:v>2.625</c:v>
                </c:pt>
                <c:pt idx="36">
                  <c:v>2.7</c:v>
                </c:pt>
                <c:pt idx="37">
                  <c:v>2.7750000000000004</c:v>
                </c:pt>
                <c:pt idx="38">
                  <c:v>2.8499999999999996</c:v>
                </c:pt>
                <c:pt idx="39">
                  <c:v>2.9249999999999998</c:v>
                </c:pt>
                <c:pt idx="40">
                  <c:v>3</c:v>
                </c:pt>
                <c:pt idx="41">
                  <c:v>3.0749999999999997</c:v>
                </c:pt>
                <c:pt idx="42">
                  <c:v>3.1500000000000004</c:v>
                </c:pt>
                <c:pt idx="43">
                  <c:v>3.2249999999999996</c:v>
                </c:pt>
                <c:pt idx="44">
                  <c:v>3.3000000000000003</c:v>
                </c:pt>
                <c:pt idx="45">
                  <c:v>3.375</c:v>
                </c:pt>
                <c:pt idx="46">
                  <c:v>3.4499999999999997</c:v>
                </c:pt>
                <c:pt idx="47">
                  <c:v>3.5250000000000004</c:v>
                </c:pt>
                <c:pt idx="48">
                  <c:v>3.5999999999999996</c:v>
                </c:pt>
                <c:pt idx="49">
                  <c:v>3.6750000000000003</c:v>
                </c:pt>
                <c:pt idx="50">
                  <c:v>3.75</c:v>
                </c:pt>
                <c:pt idx="51">
                  <c:v>3.8249999999999997</c:v>
                </c:pt>
                <c:pt idx="52">
                  <c:v>3.9000000000000004</c:v>
                </c:pt>
                <c:pt idx="53">
                  <c:v>3.9749999999999996</c:v>
                </c:pt>
                <c:pt idx="54">
                  <c:v>4.0500000000000007</c:v>
                </c:pt>
                <c:pt idx="55">
                  <c:v>4.125</c:v>
                </c:pt>
                <c:pt idx="56">
                  <c:v>4.1999999999999993</c:v>
                </c:pt>
                <c:pt idx="57">
                  <c:v>4.2750000000000004</c:v>
                </c:pt>
                <c:pt idx="58">
                  <c:v>4.3499999999999996</c:v>
                </c:pt>
                <c:pt idx="59">
                  <c:v>4.4250000000000007</c:v>
                </c:pt>
                <c:pt idx="60">
                  <c:v>4.5</c:v>
                </c:pt>
                <c:pt idx="61">
                  <c:v>4.5749999999999993</c:v>
                </c:pt>
                <c:pt idx="62">
                  <c:v>4.6500000000000004</c:v>
                </c:pt>
                <c:pt idx="63">
                  <c:v>4.7249999999999996</c:v>
                </c:pt>
                <c:pt idx="64">
                  <c:v>4.8000000000000007</c:v>
                </c:pt>
                <c:pt idx="65">
                  <c:v>4.875</c:v>
                </c:pt>
                <c:pt idx="66">
                  <c:v>4.9499999999999993</c:v>
                </c:pt>
                <c:pt idx="67">
                  <c:v>5.0250000000000004</c:v>
                </c:pt>
                <c:pt idx="68">
                  <c:v>5.0999999999999996</c:v>
                </c:pt>
                <c:pt idx="69">
                  <c:v>5.1750000000000007</c:v>
                </c:pt>
                <c:pt idx="70">
                  <c:v>5.25</c:v>
                </c:pt>
                <c:pt idx="71">
                  <c:v>5.3249999999999993</c:v>
                </c:pt>
                <c:pt idx="72">
                  <c:v>5.4</c:v>
                </c:pt>
                <c:pt idx="73">
                  <c:v>5.4749999999999996</c:v>
                </c:pt>
                <c:pt idx="74">
                  <c:v>5.5500000000000007</c:v>
                </c:pt>
                <c:pt idx="75">
                  <c:v>5.625</c:v>
                </c:pt>
                <c:pt idx="76">
                  <c:v>5.6999999999999993</c:v>
                </c:pt>
                <c:pt idx="77">
                  <c:v>5.7750000000000004</c:v>
                </c:pt>
                <c:pt idx="78">
                  <c:v>5.8500000000000059</c:v>
                </c:pt>
                <c:pt idx="79">
                  <c:v>5.9250000000000007</c:v>
                </c:pt>
                <c:pt idx="80">
                  <c:v>6</c:v>
                </c:pt>
              </c:numCache>
            </c:numRef>
          </c:xVal>
          <c:yVal>
            <c:numRef>
              <c:f>Excenterpress!$L$4:$L$84</c:f>
              <c:numCache>
                <c:formatCode>General</c:formatCode>
                <c:ptCount val="81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6C-441F-A96D-58F8194FD3A7}"/>
            </c:ext>
          </c:extLst>
        </c:ser>
        <c:ser>
          <c:idx val="3"/>
          <c:order val="3"/>
          <c:tx>
            <c:v>Return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Excenterpress!$G$4:$G$84</c:f>
              <c:numCache>
                <c:formatCode>General</c:formatCode>
                <c:ptCount val="8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0.22499999999999998</c:v>
                </c:pt>
                <c:pt idx="4">
                  <c:v>0.30000000000000004</c:v>
                </c:pt>
                <c:pt idx="5">
                  <c:v>0.375</c:v>
                </c:pt>
                <c:pt idx="6">
                  <c:v>0.44999999999999996</c:v>
                </c:pt>
                <c:pt idx="7">
                  <c:v>0.52499999999999991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0.82500000000000007</c:v>
                </c:pt>
                <c:pt idx="12">
                  <c:v>0.89999999999999991</c:v>
                </c:pt>
                <c:pt idx="13">
                  <c:v>0.97500000000000009</c:v>
                </c:pt>
                <c:pt idx="14">
                  <c:v>1.0499999999999998</c:v>
                </c:pt>
                <c:pt idx="15">
                  <c:v>1.125</c:v>
                </c:pt>
                <c:pt idx="16">
                  <c:v>1.2000000000000002</c:v>
                </c:pt>
                <c:pt idx="17">
                  <c:v>1.2749999999999999</c:v>
                </c:pt>
                <c:pt idx="18">
                  <c:v>1.35</c:v>
                </c:pt>
                <c:pt idx="19">
                  <c:v>1.4249999999999998</c:v>
                </c:pt>
                <c:pt idx="20">
                  <c:v>1.5</c:v>
                </c:pt>
                <c:pt idx="21">
                  <c:v>1.5750000000000002</c:v>
                </c:pt>
                <c:pt idx="22">
                  <c:v>1.6500000000000001</c:v>
                </c:pt>
                <c:pt idx="23">
                  <c:v>1.7249999999999999</c:v>
                </c:pt>
                <c:pt idx="24">
                  <c:v>1.7999999999999998</c:v>
                </c:pt>
                <c:pt idx="25">
                  <c:v>1.875</c:v>
                </c:pt>
                <c:pt idx="26">
                  <c:v>1.9500000000000002</c:v>
                </c:pt>
                <c:pt idx="27">
                  <c:v>2.0250000000000004</c:v>
                </c:pt>
                <c:pt idx="28">
                  <c:v>2.0999999999999996</c:v>
                </c:pt>
                <c:pt idx="29">
                  <c:v>2.1749999999999998</c:v>
                </c:pt>
                <c:pt idx="30">
                  <c:v>2.25</c:v>
                </c:pt>
                <c:pt idx="31">
                  <c:v>2.3250000000000002</c:v>
                </c:pt>
                <c:pt idx="32">
                  <c:v>2.4000000000000004</c:v>
                </c:pt>
                <c:pt idx="33">
                  <c:v>2.4749999999999996</c:v>
                </c:pt>
                <c:pt idx="34">
                  <c:v>2.5499999999999998</c:v>
                </c:pt>
                <c:pt idx="35">
                  <c:v>2.625</c:v>
                </c:pt>
                <c:pt idx="36">
                  <c:v>2.7</c:v>
                </c:pt>
                <c:pt idx="37">
                  <c:v>2.7750000000000004</c:v>
                </c:pt>
                <c:pt idx="38">
                  <c:v>2.8499999999999996</c:v>
                </c:pt>
                <c:pt idx="39">
                  <c:v>2.9249999999999998</c:v>
                </c:pt>
                <c:pt idx="40">
                  <c:v>3</c:v>
                </c:pt>
                <c:pt idx="41">
                  <c:v>3.0749999999999997</c:v>
                </c:pt>
                <c:pt idx="42">
                  <c:v>3.1500000000000004</c:v>
                </c:pt>
                <c:pt idx="43">
                  <c:v>3.2249999999999996</c:v>
                </c:pt>
                <c:pt idx="44">
                  <c:v>3.3000000000000003</c:v>
                </c:pt>
                <c:pt idx="45">
                  <c:v>3.375</c:v>
                </c:pt>
                <c:pt idx="46">
                  <c:v>3.4499999999999997</c:v>
                </c:pt>
                <c:pt idx="47">
                  <c:v>3.5250000000000004</c:v>
                </c:pt>
                <c:pt idx="48">
                  <c:v>3.5999999999999996</c:v>
                </c:pt>
                <c:pt idx="49">
                  <c:v>3.6750000000000003</c:v>
                </c:pt>
                <c:pt idx="50">
                  <c:v>3.75</c:v>
                </c:pt>
                <c:pt idx="51">
                  <c:v>3.8249999999999997</c:v>
                </c:pt>
                <c:pt idx="52">
                  <c:v>3.9000000000000004</c:v>
                </c:pt>
                <c:pt idx="53">
                  <c:v>3.9749999999999996</c:v>
                </c:pt>
                <c:pt idx="54">
                  <c:v>4.0500000000000007</c:v>
                </c:pt>
                <c:pt idx="55">
                  <c:v>4.125</c:v>
                </c:pt>
                <c:pt idx="56">
                  <c:v>4.1999999999999993</c:v>
                </c:pt>
                <c:pt idx="57">
                  <c:v>4.2750000000000004</c:v>
                </c:pt>
                <c:pt idx="58">
                  <c:v>4.3499999999999996</c:v>
                </c:pt>
                <c:pt idx="59">
                  <c:v>4.4250000000000007</c:v>
                </c:pt>
                <c:pt idx="60">
                  <c:v>4.5</c:v>
                </c:pt>
                <c:pt idx="61">
                  <c:v>4.5749999999999993</c:v>
                </c:pt>
                <c:pt idx="62">
                  <c:v>4.6500000000000004</c:v>
                </c:pt>
                <c:pt idx="63">
                  <c:v>4.7249999999999996</c:v>
                </c:pt>
                <c:pt idx="64">
                  <c:v>4.8000000000000007</c:v>
                </c:pt>
                <c:pt idx="65">
                  <c:v>4.875</c:v>
                </c:pt>
                <c:pt idx="66">
                  <c:v>4.9499999999999993</c:v>
                </c:pt>
                <c:pt idx="67">
                  <c:v>5.0250000000000004</c:v>
                </c:pt>
                <c:pt idx="68">
                  <c:v>5.0999999999999996</c:v>
                </c:pt>
                <c:pt idx="69">
                  <c:v>5.1750000000000007</c:v>
                </c:pt>
                <c:pt idx="70">
                  <c:v>5.25</c:v>
                </c:pt>
                <c:pt idx="71">
                  <c:v>5.3249999999999993</c:v>
                </c:pt>
                <c:pt idx="72">
                  <c:v>5.4</c:v>
                </c:pt>
                <c:pt idx="73">
                  <c:v>5.4749999999999996</c:v>
                </c:pt>
                <c:pt idx="74">
                  <c:v>5.5500000000000007</c:v>
                </c:pt>
                <c:pt idx="75">
                  <c:v>5.625</c:v>
                </c:pt>
                <c:pt idx="76">
                  <c:v>5.6999999999999993</c:v>
                </c:pt>
                <c:pt idx="77">
                  <c:v>5.7750000000000004</c:v>
                </c:pt>
                <c:pt idx="78">
                  <c:v>5.8500000000000059</c:v>
                </c:pt>
                <c:pt idx="79">
                  <c:v>5.9250000000000007</c:v>
                </c:pt>
                <c:pt idx="80">
                  <c:v>6</c:v>
                </c:pt>
              </c:numCache>
            </c:numRef>
          </c:xVal>
          <c:yVal>
            <c:numRef>
              <c:f>Excenterpress!$P$4:$P$84</c:f>
              <c:numCache>
                <c:formatCode>General</c:formatCode>
                <c:ptCount val="81"/>
                <c:pt idx="0">
                  <c:v>-800</c:v>
                </c:pt>
                <c:pt idx="1">
                  <c:v>-785</c:v>
                </c:pt>
                <c:pt idx="2">
                  <c:v>-770</c:v>
                </c:pt>
                <c:pt idx="3">
                  <c:v>-755</c:v>
                </c:pt>
                <c:pt idx="4">
                  <c:v>-740</c:v>
                </c:pt>
                <c:pt idx="5">
                  <c:v>-725</c:v>
                </c:pt>
                <c:pt idx="6">
                  <c:v>-710</c:v>
                </c:pt>
                <c:pt idx="7">
                  <c:v>-695</c:v>
                </c:pt>
                <c:pt idx="8">
                  <c:v>-680</c:v>
                </c:pt>
                <c:pt idx="9">
                  <c:v>-665</c:v>
                </c:pt>
                <c:pt idx="10">
                  <c:v>-650</c:v>
                </c:pt>
                <c:pt idx="11">
                  <c:v>-635</c:v>
                </c:pt>
                <c:pt idx="12">
                  <c:v>-620</c:v>
                </c:pt>
                <c:pt idx="13">
                  <c:v>-605</c:v>
                </c:pt>
                <c:pt idx="14">
                  <c:v>-590</c:v>
                </c:pt>
                <c:pt idx="15">
                  <c:v>-575</c:v>
                </c:pt>
                <c:pt idx="16">
                  <c:v>-560</c:v>
                </c:pt>
                <c:pt idx="17">
                  <c:v>-545</c:v>
                </c:pt>
                <c:pt idx="18">
                  <c:v>-530</c:v>
                </c:pt>
                <c:pt idx="19">
                  <c:v>-515</c:v>
                </c:pt>
                <c:pt idx="20">
                  <c:v>-500</c:v>
                </c:pt>
                <c:pt idx="21">
                  <c:v>-484.99999999999994</c:v>
                </c:pt>
                <c:pt idx="22">
                  <c:v>-470</c:v>
                </c:pt>
                <c:pt idx="23">
                  <c:v>-455</c:v>
                </c:pt>
                <c:pt idx="24">
                  <c:v>-440.00000000000006</c:v>
                </c:pt>
                <c:pt idx="25">
                  <c:v>-425</c:v>
                </c:pt>
                <c:pt idx="26">
                  <c:v>-409.99999999999994</c:v>
                </c:pt>
                <c:pt idx="27">
                  <c:v>-394.99999999999994</c:v>
                </c:pt>
                <c:pt idx="28">
                  <c:v>-380.00000000000006</c:v>
                </c:pt>
                <c:pt idx="29">
                  <c:v>-365.00000000000006</c:v>
                </c:pt>
                <c:pt idx="30">
                  <c:v>-350</c:v>
                </c:pt>
                <c:pt idx="31">
                  <c:v>-334.99999999999994</c:v>
                </c:pt>
                <c:pt idx="32">
                  <c:v>-319.99999999999994</c:v>
                </c:pt>
                <c:pt idx="33">
                  <c:v>-305.00000000000006</c:v>
                </c:pt>
                <c:pt idx="34">
                  <c:v>-290.00000000000006</c:v>
                </c:pt>
                <c:pt idx="35">
                  <c:v>-275</c:v>
                </c:pt>
                <c:pt idx="36">
                  <c:v>-260</c:v>
                </c:pt>
                <c:pt idx="37">
                  <c:v>-244.99999999999989</c:v>
                </c:pt>
                <c:pt idx="38">
                  <c:v>-230.00000000000011</c:v>
                </c:pt>
                <c:pt idx="39">
                  <c:v>-215</c:v>
                </c:pt>
                <c:pt idx="40">
                  <c:v>-200</c:v>
                </c:pt>
                <c:pt idx="41">
                  <c:v>-185</c:v>
                </c:pt>
                <c:pt idx="42">
                  <c:v>-169.99999999999989</c:v>
                </c:pt>
                <c:pt idx="43">
                  <c:v>-155.00000000000011</c:v>
                </c:pt>
                <c:pt idx="44">
                  <c:v>-140</c:v>
                </c:pt>
                <c:pt idx="45">
                  <c:v>-125</c:v>
                </c:pt>
                <c:pt idx="46">
                  <c:v>-110</c:v>
                </c:pt>
                <c:pt idx="47">
                  <c:v>-94.999999999999886</c:v>
                </c:pt>
                <c:pt idx="48">
                  <c:v>-80.000000000000114</c:v>
                </c:pt>
                <c:pt idx="49">
                  <c:v>-65</c:v>
                </c:pt>
                <c:pt idx="50">
                  <c:v>-50</c:v>
                </c:pt>
                <c:pt idx="51">
                  <c:v>-35</c:v>
                </c:pt>
                <c:pt idx="52">
                  <c:v>-19.999999999999886</c:v>
                </c:pt>
                <c:pt idx="53">
                  <c:v>-5.0000000000001137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6C-441F-A96D-58F8194FD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32800"/>
        <c:axId val="183943168"/>
      </c:scatterChart>
      <c:scatterChart>
        <c:scatterStyle val="smoothMarker"/>
        <c:varyColors val="0"/>
        <c:ser>
          <c:idx val="1"/>
          <c:order val="0"/>
          <c:tx>
            <c:v>Press Motion</c:v>
          </c:tx>
          <c:marker>
            <c:symbol val="none"/>
          </c:marker>
          <c:xVal>
            <c:numRef>
              <c:f>Excenterpress!$G$4:$G$84</c:f>
              <c:numCache>
                <c:formatCode>General</c:formatCode>
                <c:ptCount val="8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0.22499999999999998</c:v>
                </c:pt>
                <c:pt idx="4">
                  <c:v>0.30000000000000004</c:v>
                </c:pt>
                <c:pt idx="5">
                  <c:v>0.375</c:v>
                </c:pt>
                <c:pt idx="6">
                  <c:v>0.44999999999999996</c:v>
                </c:pt>
                <c:pt idx="7">
                  <c:v>0.52499999999999991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0.82500000000000007</c:v>
                </c:pt>
                <c:pt idx="12">
                  <c:v>0.89999999999999991</c:v>
                </c:pt>
                <c:pt idx="13">
                  <c:v>0.97500000000000009</c:v>
                </c:pt>
                <c:pt idx="14">
                  <c:v>1.0499999999999998</c:v>
                </c:pt>
                <c:pt idx="15">
                  <c:v>1.125</c:v>
                </c:pt>
                <c:pt idx="16">
                  <c:v>1.2000000000000002</c:v>
                </c:pt>
                <c:pt idx="17">
                  <c:v>1.2749999999999999</c:v>
                </c:pt>
                <c:pt idx="18">
                  <c:v>1.35</c:v>
                </c:pt>
                <c:pt idx="19">
                  <c:v>1.4249999999999998</c:v>
                </c:pt>
                <c:pt idx="20">
                  <c:v>1.5</c:v>
                </c:pt>
                <c:pt idx="21">
                  <c:v>1.5750000000000002</c:v>
                </c:pt>
                <c:pt idx="22">
                  <c:v>1.6500000000000001</c:v>
                </c:pt>
                <c:pt idx="23">
                  <c:v>1.7249999999999999</c:v>
                </c:pt>
                <c:pt idx="24">
                  <c:v>1.7999999999999998</c:v>
                </c:pt>
                <c:pt idx="25">
                  <c:v>1.875</c:v>
                </c:pt>
                <c:pt idx="26">
                  <c:v>1.9500000000000002</c:v>
                </c:pt>
                <c:pt idx="27">
                  <c:v>2.0250000000000004</c:v>
                </c:pt>
                <c:pt idx="28">
                  <c:v>2.0999999999999996</c:v>
                </c:pt>
                <c:pt idx="29">
                  <c:v>2.1749999999999998</c:v>
                </c:pt>
                <c:pt idx="30">
                  <c:v>2.25</c:v>
                </c:pt>
                <c:pt idx="31">
                  <c:v>2.3250000000000002</c:v>
                </c:pt>
                <c:pt idx="32">
                  <c:v>2.4000000000000004</c:v>
                </c:pt>
                <c:pt idx="33">
                  <c:v>2.4749999999999996</c:v>
                </c:pt>
                <c:pt idx="34">
                  <c:v>2.5499999999999998</c:v>
                </c:pt>
                <c:pt idx="35">
                  <c:v>2.625</c:v>
                </c:pt>
                <c:pt idx="36">
                  <c:v>2.7</c:v>
                </c:pt>
                <c:pt idx="37">
                  <c:v>2.7750000000000004</c:v>
                </c:pt>
                <c:pt idx="38">
                  <c:v>2.8499999999999996</c:v>
                </c:pt>
                <c:pt idx="39">
                  <c:v>2.9249999999999998</c:v>
                </c:pt>
                <c:pt idx="40">
                  <c:v>3</c:v>
                </c:pt>
                <c:pt idx="41">
                  <c:v>3.0749999999999997</c:v>
                </c:pt>
                <c:pt idx="42">
                  <c:v>3.1500000000000004</c:v>
                </c:pt>
                <c:pt idx="43">
                  <c:v>3.2249999999999996</c:v>
                </c:pt>
                <c:pt idx="44">
                  <c:v>3.3000000000000003</c:v>
                </c:pt>
                <c:pt idx="45">
                  <c:v>3.375</c:v>
                </c:pt>
                <c:pt idx="46">
                  <c:v>3.4499999999999997</c:v>
                </c:pt>
                <c:pt idx="47">
                  <c:v>3.5250000000000004</c:v>
                </c:pt>
                <c:pt idx="48">
                  <c:v>3.5999999999999996</c:v>
                </c:pt>
                <c:pt idx="49">
                  <c:v>3.6750000000000003</c:v>
                </c:pt>
                <c:pt idx="50">
                  <c:v>3.75</c:v>
                </c:pt>
                <c:pt idx="51">
                  <c:v>3.8249999999999997</c:v>
                </c:pt>
                <c:pt idx="52">
                  <c:v>3.9000000000000004</c:v>
                </c:pt>
                <c:pt idx="53">
                  <c:v>3.9749999999999996</c:v>
                </c:pt>
                <c:pt idx="54">
                  <c:v>4.0500000000000007</c:v>
                </c:pt>
                <c:pt idx="55">
                  <c:v>4.125</c:v>
                </c:pt>
                <c:pt idx="56">
                  <c:v>4.1999999999999993</c:v>
                </c:pt>
                <c:pt idx="57">
                  <c:v>4.2750000000000004</c:v>
                </c:pt>
                <c:pt idx="58">
                  <c:v>4.3499999999999996</c:v>
                </c:pt>
                <c:pt idx="59">
                  <c:v>4.4250000000000007</c:v>
                </c:pt>
                <c:pt idx="60">
                  <c:v>4.5</c:v>
                </c:pt>
                <c:pt idx="61">
                  <c:v>4.5749999999999993</c:v>
                </c:pt>
                <c:pt idx="62">
                  <c:v>4.6500000000000004</c:v>
                </c:pt>
                <c:pt idx="63">
                  <c:v>4.7249999999999996</c:v>
                </c:pt>
                <c:pt idx="64">
                  <c:v>4.8000000000000007</c:v>
                </c:pt>
                <c:pt idx="65">
                  <c:v>4.875</c:v>
                </c:pt>
                <c:pt idx="66">
                  <c:v>4.9499999999999993</c:v>
                </c:pt>
                <c:pt idx="67">
                  <c:v>5.0250000000000004</c:v>
                </c:pt>
                <c:pt idx="68">
                  <c:v>5.0999999999999996</c:v>
                </c:pt>
                <c:pt idx="69">
                  <c:v>5.1750000000000007</c:v>
                </c:pt>
                <c:pt idx="70">
                  <c:v>5.25</c:v>
                </c:pt>
                <c:pt idx="71">
                  <c:v>5.3249999999999993</c:v>
                </c:pt>
                <c:pt idx="72">
                  <c:v>5.4</c:v>
                </c:pt>
                <c:pt idx="73">
                  <c:v>5.4749999999999996</c:v>
                </c:pt>
                <c:pt idx="74">
                  <c:v>5.5500000000000007</c:v>
                </c:pt>
                <c:pt idx="75">
                  <c:v>5.625</c:v>
                </c:pt>
                <c:pt idx="76">
                  <c:v>5.6999999999999993</c:v>
                </c:pt>
                <c:pt idx="77">
                  <c:v>5.7750000000000004</c:v>
                </c:pt>
                <c:pt idx="78">
                  <c:v>5.8500000000000059</c:v>
                </c:pt>
                <c:pt idx="79">
                  <c:v>5.9250000000000007</c:v>
                </c:pt>
                <c:pt idx="80">
                  <c:v>6</c:v>
                </c:pt>
              </c:numCache>
            </c:numRef>
          </c:xVal>
          <c:yVal>
            <c:numRef>
              <c:f>Excenterpress!$K$4:$K$84</c:f>
              <c:numCache>
                <c:formatCode>General</c:formatCode>
                <c:ptCount val="81"/>
                <c:pt idx="0">
                  <c:v>500</c:v>
                </c:pt>
                <c:pt idx="1">
                  <c:v>498.74811977955392</c:v>
                </c:pt>
                <c:pt idx="2">
                  <c:v>495.00563936099195</c:v>
                </c:pt>
                <c:pt idx="3">
                  <c:v>488.8120195220846</c:v>
                </c:pt>
                <c:pt idx="4">
                  <c:v>480.23295722988166</c:v>
                </c:pt>
                <c:pt idx="5">
                  <c:v>469.36026265862256</c:v>
                </c:pt>
                <c:pt idx="6">
                  <c:v>456.31165129703902</c:v>
                </c:pt>
                <c:pt idx="7">
                  <c:v>441.23040903192691</c:v>
                </c:pt>
                <c:pt idx="8">
                  <c:v>424.28486705707928</c:v>
                </c:pt>
                <c:pt idx="9">
                  <c:v>405.66759627367787</c:v>
                </c:pt>
                <c:pt idx="10">
                  <c:v>385.59419765681992</c:v>
                </c:pt>
                <c:pt idx="11">
                  <c:v>364.3015281467309</c:v>
                </c:pt>
                <c:pt idx="12">
                  <c:v>342.04516691906036</c:v>
                </c:pt>
                <c:pt idx="13">
                  <c:v>319.09590566555948</c:v>
                </c:pt>
                <c:pt idx="14">
                  <c:v>295.7350563989832</c:v>
                </c:pt>
                <c:pt idx="15">
                  <c:v>272.24843400229611</c:v>
                </c:pt>
                <c:pt idx="16">
                  <c:v>248.91901030347543</c:v>
                </c:pt>
                <c:pt idx="17">
                  <c:v>226.01846132980967</c:v>
                </c:pt>
                <c:pt idx="18">
                  <c:v>203.7981201615645</c:v>
                </c:pt>
                <c:pt idx="19">
                  <c:v>182.48014331055185</c:v>
                </c:pt>
                <c:pt idx="20">
                  <c:v>162.24989991991993</c:v>
                </c:pt>
                <c:pt idx="21">
                  <c:v>143.2505954466294</c:v>
                </c:pt>
                <c:pt idx="22">
                  <c:v>125.58088764144901</c:v>
                </c:pt>
                <c:pt idx="23">
                  <c:v>109.29577940185703</c:v>
                </c:pt>
                <c:pt idx="24">
                  <c:v>94.410513116001738</c:v>
                </c:pt>
                <c:pt idx="25">
                  <c:v>80.906717819751208</c:v>
                </c:pt>
                <c:pt idx="26">
                  <c:v>68.739806529209773</c:v>
                </c:pt>
                <c:pt idx="27">
                  <c:v>57.846623307585048</c:v>
                </c:pt>
                <c:pt idx="28">
                  <c:v>48.152540772823812</c:v>
                </c:pt>
                <c:pt idx="29">
                  <c:v>39.577503981639182</c:v>
                </c:pt>
                <c:pt idx="30">
                  <c:v>32.040807063546225</c:v>
                </c:pt>
                <c:pt idx="31">
                  <c:v>25.464613473662411</c:v>
                </c:pt>
                <c:pt idx="32">
                  <c:v>19.776369869605645</c:v>
                </c:pt>
                <c:pt idx="33">
                  <c:v>14.910326854880907</c:v>
                </c:pt>
                <c:pt idx="34">
                  <c:v>10.808389202855125</c:v>
                </c:pt>
                <c:pt idx="35">
                  <c:v>7.4204964029792677</c:v>
                </c:pt>
                <c:pt idx="36">
                  <c:v>4.7046990823049271</c:v>
                </c:pt>
                <c:pt idx="37">
                  <c:v>2.6270593232463568</c:v>
                </c:pt>
                <c:pt idx="38">
                  <c:v>1.161469063423084</c:v>
                </c:pt>
                <c:pt idx="39">
                  <c:v>0.28945291298990128</c:v>
                </c:pt>
                <c:pt idx="40">
                  <c:v>0</c:v>
                </c:pt>
                <c:pt idx="41">
                  <c:v>0.28945291298987286</c:v>
                </c:pt>
                <c:pt idx="42">
                  <c:v>1.1614690634230556</c:v>
                </c:pt>
                <c:pt idx="43">
                  <c:v>2.6270593232463284</c:v>
                </c:pt>
                <c:pt idx="44">
                  <c:v>4.7046990823049271</c:v>
                </c:pt>
                <c:pt idx="45">
                  <c:v>7.4204964029792961</c:v>
                </c:pt>
                <c:pt idx="46">
                  <c:v>10.808389202855039</c:v>
                </c:pt>
                <c:pt idx="47">
                  <c:v>14.910326854880878</c:v>
                </c:pt>
                <c:pt idx="48">
                  <c:v>19.776369869605588</c:v>
                </c:pt>
                <c:pt idx="49">
                  <c:v>25.464613473662467</c:v>
                </c:pt>
                <c:pt idx="50">
                  <c:v>32.040807063546168</c:v>
                </c:pt>
                <c:pt idx="51">
                  <c:v>39.577503981639097</c:v>
                </c:pt>
                <c:pt idx="52">
                  <c:v>48.152540772823755</c:v>
                </c:pt>
                <c:pt idx="53">
                  <c:v>57.846623307584963</c:v>
                </c:pt>
                <c:pt idx="54">
                  <c:v>68.739806529209773</c:v>
                </c:pt>
                <c:pt idx="55">
                  <c:v>80.906717819751066</c:v>
                </c:pt>
                <c:pt idx="56">
                  <c:v>94.410513116001681</c:v>
                </c:pt>
                <c:pt idx="57">
                  <c:v>109.29577940185703</c:v>
                </c:pt>
                <c:pt idx="58">
                  <c:v>125.58088764144901</c:v>
                </c:pt>
                <c:pt idx="59">
                  <c:v>143.25059544662946</c:v>
                </c:pt>
                <c:pt idx="60">
                  <c:v>162.24989991991987</c:v>
                </c:pt>
                <c:pt idx="61">
                  <c:v>182.48014331055163</c:v>
                </c:pt>
                <c:pt idx="62">
                  <c:v>203.79812016156444</c:v>
                </c:pt>
                <c:pt idx="63">
                  <c:v>226.01846132980944</c:v>
                </c:pt>
                <c:pt idx="64">
                  <c:v>248.91901030347537</c:v>
                </c:pt>
                <c:pt idx="65">
                  <c:v>272.24843400229616</c:v>
                </c:pt>
                <c:pt idx="66">
                  <c:v>295.73505639898315</c:v>
                </c:pt>
                <c:pt idx="67">
                  <c:v>319.09590566555954</c:v>
                </c:pt>
                <c:pt idx="68">
                  <c:v>342.04516691906031</c:v>
                </c:pt>
                <c:pt idx="69">
                  <c:v>364.30152814673102</c:v>
                </c:pt>
                <c:pt idx="70">
                  <c:v>385.59419765681992</c:v>
                </c:pt>
                <c:pt idx="71">
                  <c:v>405.66759627367776</c:v>
                </c:pt>
                <c:pt idx="72">
                  <c:v>424.28486705707928</c:v>
                </c:pt>
                <c:pt idx="73">
                  <c:v>441.23040903192691</c:v>
                </c:pt>
                <c:pt idx="74">
                  <c:v>456.31165129703902</c:v>
                </c:pt>
                <c:pt idx="75">
                  <c:v>469.36026265862256</c:v>
                </c:pt>
                <c:pt idx="76">
                  <c:v>480.23295722988166</c:v>
                </c:pt>
                <c:pt idx="77">
                  <c:v>488.81201952208471</c:v>
                </c:pt>
                <c:pt idx="78">
                  <c:v>495.00563936099229</c:v>
                </c:pt>
                <c:pt idx="79">
                  <c:v>498.74811977955392</c:v>
                </c:pt>
                <c:pt idx="80">
                  <c:v>500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E6C-441F-A96D-58F8194FD3A7}"/>
            </c:ext>
          </c:extLst>
        </c:ser>
        <c:ser>
          <c:idx val="0"/>
          <c:order val="1"/>
          <c:tx>
            <c:v>KF Spring Motion</c:v>
          </c:tx>
          <c:marker>
            <c:symbol val="none"/>
          </c:marker>
          <c:xVal>
            <c:numRef>
              <c:f>Excenterpress!$G$4:$G$84</c:f>
              <c:numCache>
                <c:formatCode>General</c:formatCode>
                <c:ptCount val="81"/>
                <c:pt idx="0">
                  <c:v>0</c:v>
                </c:pt>
                <c:pt idx="1">
                  <c:v>7.5000000000000011E-2</c:v>
                </c:pt>
                <c:pt idx="2">
                  <c:v>0.15000000000000002</c:v>
                </c:pt>
                <c:pt idx="3">
                  <c:v>0.22499999999999998</c:v>
                </c:pt>
                <c:pt idx="4">
                  <c:v>0.30000000000000004</c:v>
                </c:pt>
                <c:pt idx="5">
                  <c:v>0.375</c:v>
                </c:pt>
                <c:pt idx="6">
                  <c:v>0.44999999999999996</c:v>
                </c:pt>
                <c:pt idx="7">
                  <c:v>0.52499999999999991</c:v>
                </c:pt>
                <c:pt idx="8">
                  <c:v>0.60000000000000009</c:v>
                </c:pt>
                <c:pt idx="9">
                  <c:v>0.67500000000000004</c:v>
                </c:pt>
                <c:pt idx="10">
                  <c:v>0.75</c:v>
                </c:pt>
                <c:pt idx="11">
                  <c:v>0.82500000000000007</c:v>
                </c:pt>
                <c:pt idx="12">
                  <c:v>0.89999999999999991</c:v>
                </c:pt>
                <c:pt idx="13">
                  <c:v>0.97500000000000009</c:v>
                </c:pt>
                <c:pt idx="14">
                  <c:v>1.0499999999999998</c:v>
                </c:pt>
                <c:pt idx="15">
                  <c:v>1.125</c:v>
                </c:pt>
                <c:pt idx="16">
                  <c:v>1.2000000000000002</c:v>
                </c:pt>
                <c:pt idx="17">
                  <c:v>1.2749999999999999</c:v>
                </c:pt>
                <c:pt idx="18">
                  <c:v>1.35</c:v>
                </c:pt>
                <c:pt idx="19">
                  <c:v>1.4249999999999998</c:v>
                </c:pt>
                <c:pt idx="20">
                  <c:v>1.5</c:v>
                </c:pt>
                <c:pt idx="21">
                  <c:v>1.5750000000000002</c:v>
                </c:pt>
                <c:pt idx="22">
                  <c:v>1.6500000000000001</c:v>
                </c:pt>
                <c:pt idx="23">
                  <c:v>1.7249999999999999</c:v>
                </c:pt>
                <c:pt idx="24">
                  <c:v>1.7999999999999998</c:v>
                </c:pt>
                <c:pt idx="25">
                  <c:v>1.875</c:v>
                </c:pt>
                <c:pt idx="26">
                  <c:v>1.9500000000000002</c:v>
                </c:pt>
                <c:pt idx="27">
                  <c:v>2.0250000000000004</c:v>
                </c:pt>
                <c:pt idx="28">
                  <c:v>2.0999999999999996</c:v>
                </c:pt>
                <c:pt idx="29">
                  <c:v>2.1749999999999998</c:v>
                </c:pt>
                <c:pt idx="30">
                  <c:v>2.25</c:v>
                </c:pt>
                <c:pt idx="31">
                  <c:v>2.3250000000000002</c:v>
                </c:pt>
                <c:pt idx="32">
                  <c:v>2.4000000000000004</c:v>
                </c:pt>
                <c:pt idx="33">
                  <c:v>2.4749999999999996</c:v>
                </c:pt>
                <c:pt idx="34">
                  <c:v>2.5499999999999998</c:v>
                </c:pt>
                <c:pt idx="35">
                  <c:v>2.625</c:v>
                </c:pt>
                <c:pt idx="36">
                  <c:v>2.7</c:v>
                </c:pt>
                <c:pt idx="37">
                  <c:v>2.7750000000000004</c:v>
                </c:pt>
                <c:pt idx="38">
                  <c:v>2.8499999999999996</c:v>
                </c:pt>
                <c:pt idx="39">
                  <c:v>2.9249999999999998</c:v>
                </c:pt>
                <c:pt idx="40">
                  <c:v>3</c:v>
                </c:pt>
                <c:pt idx="41">
                  <c:v>3.0749999999999997</c:v>
                </c:pt>
                <c:pt idx="42">
                  <c:v>3.1500000000000004</c:v>
                </c:pt>
                <c:pt idx="43">
                  <c:v>3.2249999999999996</c:v>
                </c:pt>
                <c:pt idx="44">
                  <c:v>3.3000000000000003</c:v>
                </c:pt>
                <c:pt idx="45">
                  <c:v>3.375</c:v>
                </c:pt>
                <c:pt idx="46">
                  <c:v>3.4499999999999997</c:v>
                </c:pt>
                <c:pt idx="47">
                  <c:v>3.5250000000000004</c:v>
                </c:pt>
                <c:pt idx="48">
                  <c:v>3.5999999999999996</c:v>
                </c:pt>
                <c:pt idx="49">
                  <c:v>3.6750000000000003</c:v>
                </c:pt>
                <c:pt idx="50">
                  <c:v>3.75</c:v>
                </c:pt>
                <c:pt idx="51">
                  <c:v>3.8249999999999997</c:v>
                </c:pt>
                <c:pt idx="52">
                  <c:v>3.9000000000000004</c:v>
                </c:pt>
                <c:pt idx="53">
                  <c:v>3.9749999999999996</c:v>
                </c:pt>
                <c:pt idx="54">
                  <c:v>4.0500000000000007</c:v>
                </c:pt>
                <c:pt idx="55">
                  <c:v>4.125</c:v>
                </c:pt>
                <c:pt idx="56">
                  <c:v>4.1999999999999993</c:v>
                </c:pt>
                <c:pt idx="57">
                  <c:v>4.2750000000000004</c:v>
                </c:pt>
                <c:pt idx="58">
                  <c:v>4.3499999999999996</c:v>
                </c:pt>
                <c:pt idx="59">
                  <c:v>4.4250000000000007</c:v>
                </c:pt>
                <c:pt idx="60">
                  <c:v>4.5</c:v>
                </c:pt>
                <c:pt idx="61">
                  <c:v>4.5749999999999993</c:v>
                </c:pt>
                <c:pt idx="62">
                  <c:v>4.6500000000000004</c:v>
                </c:pt>
                <c:pt idx="63">
                  <c:v>4.7249999999999996</c:v>
                </c:pt>
                <c:pt idx="64">
                  <c:v>4.8000000000000007</c:v>
                </c:pt>
                <c:pt idx="65">
                  <c:v>4.875</c:v>
                </c:pt>
                <c:pt idx="66">
                  <c:v>4.9499999999999993</c:v>
                </c:pt>
                <c:pt idx="67">
                  <c:v>5.0250000000000004</c:v>
                </c:pt>
                <c:pt idx="68">
                  <c:v>5.0999999999999996</c:v>
                </c:pt>
                <c:pt idx="69">
                  <c:v>5.1750000000000007</c:v>
                </c:pt>
                <c:pt idx="70">
                  <c:v>5.25</c:v>
                </c:pt>
                <c:pt idx="71">
                  <c:v>5.3249999999999993</c:v>
                </c:pt>
                <c:pt idx="72">
                  <c:v>5.4</c:v>
                </c:pt>
                <c:pt idx="73">
                  <c:v>5.4749999999999996</c:v>
                </c:pt>
                <c:pt idx="74">
                  <c:v>5.5500000000000007</c:v>
                </c:pt>
                <c:pt idx="75">
                  <c:v>5.625</c:v>
                </c:pt>
                <c:pt idx="76">
                  <c:v>5.6999999999999993</c:v>
                </c:pt>
                <c:pt idx="77">
                  <c:v>5.7750000000000004</c:v>
                </c:pt>
                <c:pt idx="78">
                  <c:v>5.8500000000000059</c:v>
                </c:pt>
                <c:pt idx="79">
                  <c:v>5.9250000000000007</c:v>
                </c:pt>
                <c:pt idx="80">
                  <c:v>6</c:v>
                </c:pt>
              </c:numCache>
            </c:numRef>
          </c:xVal>
          <c:yVal>
            <c:numRef>
              <c:f>Excenterpress!$N$4:$N$84</c:f>
              <c:numCache>
                <c:formatCode>General</c:formatCode>
                <c:ptCount val="81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4.7046990823049271</c:v>
                </c:pt>
                <c:pt idx="37">
                  <c:v>2.6270593232463568</c:v>
                </c:pt>
                <c:pt idx="38">
                  <c:v>1.161469063423084</c:v>
                </c:pt>
                <c:pt idx="39">
                  <c:v>0.28945291298990128</c:v>
                </c:pt>
                <c:pt idx="40">
                  <c:v>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6C-441F-A96D-58F8194FD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32800"/>
        <c:axId val="183943168"/>
      </c:scatterChart>
      <c:valAx>
        <c:axId val="18393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(s)</a:t>
                </a:r>
              </a:p>
            </c:rich>
          </c:tx>
          <c:layout>
            <c:manualLayout>
              <c:xMode val="edge"/>
              <c:yMode val="edge"/>
              <c:x val="0.3793610375037359"/>
              <c:y val="0.9034163705176220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943168"/>
        <c:crosses val="autoZero"/>
        <c:crossBetween val="midCat"/>
      </c:valAx>
      <c:valAx>
        <c:axId val="183943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v-SE"/>
                  <a:t>Stroke (mm)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3932800"/>
        <c:crosses val="autoZero"/>
        <c:crossBetween val="midCat"/>
      </c:valAx>
    </c:plotArea>
    <c:legend>
      <c:legendPos val="r"/>
      <c:legendEntry>
        <c:idx val="1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Press Velocity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913716106771791E-2"/>
          <c:y val="0.19480351414406533"/>
          <c:w val="0.68228680250310081"/>
          <c:h val="0.70038642374199001"/>
        </c:manualLayout>
      </c:layout>
      <c:scatterChart>
        <c:scatterStyle val="smoothMarker"/>
        <c:varyColors val="0"/>
        <c:ser>
          <c:idx val="1"/>
          <c:order val="0"/>
          <c:tx>
            <c:strRef>
              <c:f>Excenterpress!$Q$3</c:f>
              <c:strCache>
                <c:ptCount val="1"/>
                <c:pt idx="0">
                  <c:v>v</c:v>
                </c:pt>
              </c:strCache>
            </c:strRef>
          </c:tx>
          <c:marker>
            <c:symbol val="none"/>
          </c:marker>
          <c:xVal>
            <c:numRef>
              <c:f>Excenterpress!$G$5:$G$84</c:f>
              <c:numCache>
                <c:formatCode>General</c:formatCode>
                <c:ptCount val="80"/>
                <c:pt idx="0">
                  <c:v>7.5000000000000011E-2</c:v>
                </c:pt>
                <c:pt idx="1">
                  <c:v>0.15000000000000002</c:v>
                </c:pt>
                <c:pt idx="2">
                  <c:v>0.22499999999999998</c:v>
                </c:pt>
                <c:pt idx="3">
                  <c:v>0.30000000000000004</c:v>
                </c:pt>
                <c:pt idx="4">
                  <c:v>0.375</c:v>
                </c:pt>
                <c:pt idx="5">
                  <c:v>0.44999999999999996</c:v>
                </c:pt>
                <c:pt idx="6">
                  <c:v>0.52499999999999991</c:v>
                </c:pt>
                <c:pt idx="7">
                  <c:v>0.60000000000000009</c:v>
                </c:pt>
                <c:pt idx="8">
                  <c:v>0.67500000000000004</c:v>
                </c:pt>
                <c:pt idx="9">
                  <c:v>0.75</c:v>
                </c:pt>
                <c:pt idx="10">
                  <c:v>0.82500000000000007</c:v>
                </c:pt>
                <c:pt idx="11">
                  <c:v>0.89999999999999991</c:v>
                </c:pt>
                <c:pt idx="12">
                  <c:v>0.97500000000000009</c:v>
                </c:pt>
                <c:pt idx="13">
                  <c:v>1.0499999999999998</c:v>
                </c:pt>
                <c:pt idx="14">
                  <c:v>1.125</c:v>
                </c:pt>
                <c:pt idx="15">
                  <c:v>1.2000000000000002</c:v>
                </c:pt>
                <c:pt idx="16">
                  <c:v>1.2749999999999999</c:v>
                </c:pt>
                <c:pt idx="17">
                  <c:v>1.35</c:v>
                </c:pt>
                <c:pt idx="18">
                  <c:v>1.4249999999999998</c:v>
                </c:pt>
                <c:pt idx="19">
                  <c:v>1.5</c:v>
                </c:pt>
                <c:pt idx="20">
                  <c:v>1.5750000000000002</c:v>
                </c:pt>
                <c:pt idx="21">
                  <c:v>1.6500000000000001</c:v>
                </c:pt>
                <c:pt idx="22">
                  <c:v>1.7249999999999999</c:v>
                </c:pt>
                <c:pt idx="23">
                  <c:v>1.7999999999999998</c:v>
                </c:pt>
                <c:pt idx="24">
                  <c:v>1.875</c:v>
                </c:pt>
                <c:pt idx="25">
                  <c:v>1.9500000000000002</c:v>
                </c:pt>
                <c:pt idx="26">
                  <c:v>2.0250000000000004</c:v>
                </c:pt>
                <c:pt idx="27">
                  <c:v>2.0999999999999996</c:v>
                </c:pt>
                <c:pt idx="28">
                  <c:v>2.1749999999999998</c:v>
                </c:pt>
                <c:pt idx="29">
                  <c:v>2.25</c:v>
                </c:pt>
                <c:pt idx="30">
                  <c:v>2.3250000000000002</c:v>
                </c:pt>
                <c:pt idx="31">
                  <c:v>2.4000000000000004</c:v>
                </c:pt>
                <c:pt idx="32">
                  <c:v>2.4749999999999996</c:v>
                </c:pt>
                <c:pt idx="33">
                  <c:v>2.5499999999999998</c:v>
                </c:pt>
                <c:pt idx="34">
                  <c:v>2.625</c:v>
                </c:pt>
                <c:pt idx="35">
                  <c:v>2.7</c:v>
                </c:pt>
                <c:pt idx="36">
                  <c:v>2.7750000000000004</c:v>
                </c:pt>
                <c:pt idx="37">
                  <c:v>2.8499999999999996</c:v>
                </c:pt>
                <c:pt idx="38">
                  <c:v>2.9249999999999998</c:v>
                </c:pt>
                <c:pt idx="39">
                  <c:v>3</c:v>
                </c:pt>
                <c:pt idx="40">
                  <c:v>3.0749999999999997</c:v>
                </c:pt>
                <c:pt idx="41">
                  <c:v>3.1500000000000004</c:v>
                </c:pt>
                <c:pt idx="42">
                  <c:v>3.2249999999999996</c:v>
                </c:pt>
                <c:pt idx="43">
                  <c:v>3.3000000000000003</c:v>
                </c:pt>
                <c:pt idx="44">
                  <c:v>3.375</c:v>
                </c:pt>
                <c:pt idx="45">
                  <c:v>3.4499999999999997</c:v>
                </c:pt>
                <c:pt idx="46">
                  <c:v>3.5250000000000004</c:v>
                </c:pt>
                <c:pt idx="47">
                  <c:v>3.5999999999999996</c:v>
                </c:pt>
                <c:pt idx="48">
                  <c:v>3.6750000000000003</c:v>
                </c:pt>
                <c:pt idx="49">
                  <c:v>3.75</c:v>
                </c:pt>
                <c:pt idx="50">
                  <c:v>3.8249999999999997</c:v>
                </c:pt>
                <c:pt idx="51">
                  <c:v>3.9000000000000004</c:v>
                </c:pt>
                <c:pt idx="52">
                  <c:v>3.9749999999999996</c:v>
                </c:pt>
                <c:pt idx="53">
                  <c:v>4.0500000000000007</c:v>
                </c:pt>
                <c:pt idx="54">
                  <c:v>4.125</c:v>
                </c:pt>
                <c:pt idx="55">
                  <c:v>4.1999999999999993</c:v>
                </c:pt>
                <c:pt idx="56">
                  <c:v>4.2750000000000004</c:v>
                </c:pt>
                <c:pt idx="57">
                  <c:v>4.3499999999999996</c:v>
                </c:pt>
                <c:pt idx="58">
                  <c:v>4.4250000000000007</c:v>
                </c:pt>
                <c:pt idx="59">
                  <c:v>4.5</c:v>
                </c:pt>
                <c:pt idx="60">
                  <c:v>4.5749999999999993</c:v>
                </c:pt>
                <c:pt idx="61">
                  <c:v>4.6500000000000004</c:v>
                </c:pt>
                <c:pt idx="62">
                  <c:v>4.7249999999999996</c:v>
                </c:pt>
                <c:pt idx="63">
                  <c:v>4.8000000000000007</c:v>
                </c:pt>
                <c:pt idx="64">
                  <c:v>4.875</c:v>
                </c:pt>
                <c:pt idx="65">
                  <c:v>4.9499999999999993</c:v>
                </c:pt>
                <c:pt idx="66">
                  <c:v>5.0250000000000004</c:v>
                </c:pt>
                <c:pt idx="67">
                  <c:v>5.0999999999999996</c:v>
                </c:pt>
                <c:pt idx="68">
                  <c:v>5.1750000000000007</c:v>
                </c:pt>
                <c:pt idx="69">
                  <c:v>5.25</c:v>
                </c:pt>
                <c:pt idx="70">
                  <c:v>5.3249999999999993</c:v>
                </c:pt>
                <c:pt idx="71">
                  <c:v>5.4</c:v>
                </c:pt>
                <c:pt idx="72">
                  <c:v>5.4749999999999996</c:v>
                </c:pt>
                <c:pt idx="73">
                  <c:v>5.5500000000000007</c:v>
                </c:pt>
                <c:pt idx="74">
                  <c:v>5.625</c:v>
                </c:pt>
                <c:pt idx="75">
                  <c:v>5.6999999999999993</c:v>
                </c:pt>
                <c:pt idx="76">
                  <c:v>5.7750000000000004</c:v>
                </c:pt>
                <c:pt idx="77">
                  <c:v>5.8500000000000059</c:v>
                </c:pt>
                <c:pt idx="78">
                  <c:v>5.9250000000000007</c:v>
                </c:pt>
                <c:pt idx="79">
                  <c:v>6</c:v>
                </c:pt>
              </c:numCache>
            </c:numRef>
          </c:xVal>
          <c:yVal>
            <c:numRef>
              <c:f>Excenterpress!$R$5:$R$84</c:f>
              <c:numCache>
                <c:formatCode>General</c:formatCode>
                <c:ptCount val="80"/>
                <c:pt idx="0">
                  <c:v>-3.3295737593386998E-2</c:v>
                </c:pt>
                <c:pt idx="1">
                  <c:v>-6.6240668383128823E-2</c:v>
                </c:pt>
                <c:pt idx="2">
                  <c:v>-9.848454754073524E-2</c:v>
                </c:pt>
                <c:pt idx="3">
                  <c:v>-0.12967837908974689</c:v>
                </c:pt>
                <c:pt idx="4">
                  <c:v>-0.15947537288561769</c:v>
                </c:pt>
                <c:pt idx="5">
                  <c:v>-0.1875323575113044</c:v>
                </c:pt>
                <c:pt idx="6">
                  <c:v>-0.21351189493306472</c:v>
                </c:pt>
                <c:pt idx="7">
                  <c:v>-0.2370854183883267</c:v>
                </c:pt>
                <c:pt idx="8">
                  <c:v>-0.25793779600172928</c:v>
                </c:pt>
                <c:pt idx="9">
                  <c:v>-0.27577378751297976</c:v>
                </c:pt>
                <c:pt idx="10">
                  <c:v>-0.29032687158506382</c:v>
                </c:pt>
                <c:pt idx="11">
                  <c:v>-0.30137081654114273</c:v>
                </c:pt>
                <c:pt idx="12">
                  <c:v>-0.30873407013384796</c:v>
                </c:pt>
                <c:pt idx="13">
                  <c:v>-0.31231647775508936</c:v>
                </c:pt>
                <c:pt idx="14">
                  <c:v>-0.3121069739700511</c:v>
                </c:pt>
                <c:pt idx="15">
                  <c:v>-0.30819981781657646</c:v>
                </c:pt>
                <c:pt idx="16">
                  <c:v>-0.30080593427940638</c:v>
                </c:pt>
                <c:pt idx="17">
                  <c:v>-0.29025545346171888</c:v>
                </c:pt>
                <c:pt idx="18">
                  <c:v>-0.2769881349442973</c:v>
                </c:pt>
                <c:pt idx="19">
                  <c:v>-0.26153031909281571</c:v>
                </c:pt>
                <c:pt idx="20">
                  <c:v>-0.24446008185647256</c:v>
                </c:pt>
                <c:pt idx="21">
                  <c:v>-0.22636544029848296</c:v>
                </c:pt>
                <c:pt idx="22">
                  <c:v>-0.20780249683631552</c:v>
                </c:pt>
                <c:pt idx="23">
                  <c:v>-0.189260410547372</c:v>
                </c:pt>
                <c:pt idx="24">
                  <c:v>-0.17113804391194604</c:v>
                </c:pt>
                <c:pt idx="25">
                  <c:v>-0.15373396341444071</c:v>
                </c:pt>
                <c:pt idx="26">
                  <c:v>-0.13724843837590692</c:v>
                </c:pt>
                <c:pt idx="27">
                  <c:v>-0.12179412883963953</c:v>
                </c:pt>
                <c:pt idx="28">
                  <c:v>-0.10741155806185031</c:v>
                </c:pt>
                <c:pt idx="29">
                  <c:v>-9.4085936719844929E-2</c:v>
                </c:pt>
                <c:pt idx="30">
                  <c:v>-8.1762914626270347E-2</c:v>
                </c:pt>
                <c:pt idx="31">
                  <c:v>-7.0361910791876953E-2</c:v>
                </c:pt>
                <c:pt idx="32">
                  <c:v>-5.9786537778337007E-2</c:v>
                </c:pt>
                <c:pt idx="33">
                  <c:v>-4.9932203012677472E-2</c:v>
                </c:pt>
                <c:pt idx="34">
                  <c:v>-4.0691267470334552E-2</c:v>
                </c:pt>
                <c:pt idx="35">
                  <c:v>-3.195624719821933E-2</c:v>
                </c:pt>
                <c:pt idx="36">
                  <c:v>-2.362153345921238E-2</c:v>
                </c:pt>
                <c:pt idx="37">
                  <c:v>-1.5584042735043085E-2</c:v>
                </c:pt>
                <c:pt idx="38">
                  <c:v>-7.7431270894872074E-3</c:v>
                </c:pt>
                <c:pt idx="39">
                  <c:v>-1.9328674463439381E-16</c:v>
                </c:pt>
                <c:pt idx="40">
                  <c:v>7.743127089487027E-3</c:v>
                </c:pt>
                <c:pt idx="41">
                  <c:v>1.5584042735043036E-2</c:v>
                </c:pt>
                <c:pt idx="42">
                  <c:v>2.3621533459212505E-2</c:v>
                </c:pt>
                <c:pt idx="43">
                  <c:v>3.1956247198219698E-2</c:v>
                </c:pt>
                <c:pt idx="44">
                  <c:v>4.0691267470334233E-2</c:v>
                </c:pt>
                <c:pt idx="45">
                  <c:v>4.9932203012677104E-2</c:v>
                </c:pt>
                <c:pt idx="46">
                  <c:v>5.9786537778337014E-2</c:v>
                </c:pt>
                <c:pt idx="47">
                  <c:v>7.0361910791877327E-2</c:v>
                </c:pt>
                <c:pt idx="48">
                  <c:v>8.1762914626270333E-2</c:v>
                </c:pt>
                <c:pt idx="49">
                  <c:v>9.408593671984454E-2</c:v>
                </c:pt>
                <c:pt idx="50">
                  <c:v>0.10741155806185035</c:v>
                </c:pt>
                <c:pt idx="51">
                  <c:v>0.12179412883963917</c:v>
                </c:pt>
                <c:pt idx="52">
                  <c:v>0.1372484383759065</c:v>
                </c:pt>
                <c:pt idx="53">
                  <c:v>0.15373396341444029</c:v>
                </c:pt>
                <c:pt idx="54">
                  <c:v>0.17113804391194767</c:v>
                </c:pt>
                <c:pt idx="55">
                  <c:v>0.18926041054737272</c:v>
                </c:pt>
                <c:pt idx="56">
                  <c:v>0.20780249683631502</c:v>
                </c:pt>
                <c:pt idx="57">
                  <c:v>0.22636544029848238</c:v>
                </c:pt>
                <c:pt idx="58">
                  <c:v>0.24446008185647175</c:v>
                </c:pt>
                <c:pt idx="59">
                  <c:v>0.26153031909281693</c:v>
                </c:pt>
                <c:pt idx="60">
                  <c:v>0.27698813494429653</c:v>
                </c:pt>
                <c:pt idx="61">
                  <c:v>0.29025545346171805</c:v>
                </c:pt>
                <c:pt idx="62">
                  <c:v>0.30080593427940555</c:v>
                </c:pt>
                <c:pt idx="63">
                  <c:v>0.3081998178165774</c:v>
                </c:pt>
                <c:pt idx="64">
                  <c:v>0.31210697397005482</c:v>
                </c:pt>
                <c:pt idx="65">
                  <c:v>0.31231647775508842</c:v>
                </c:pt>
                <c:pt idx="66">
                  <c:v>0.30873407013384707</c:v>
                </c:pt>
                <c:pt idx="67">
                  <c:v>0.30137081654114239</c:v>
                </c:pt>
                <c:pt idx="68">
                  <c:v>0.29032687158506337</c:v>
                </c:pt>
                <c:pt idx="69">
                  <c:v>0.27577378751298093</c:v>
                </c:pt>
                <c:pt idx="70">
                  <c:v>0.25793779600172845</c:v>
                </c:pt>
                <c:pt idx="71">
                  <c:v>0.23708541838832717</c:v>
                </c:pt>
                <c:pt idx="72">
                  <c:v>0.21351189493306438</c:v>
                </c:pt>
                <c:pt idx="73">
                  <c:v>0.18753235751130395</c:v>
                </c:pt>
                <c:pt idx="74">
                  <c:v>0.15947537288561914</c:v>
                </c:pt>
                <c:pt idx="75">
                  <c:v>0.1296783790897473</c:v>
                </c:pt>
                <c:pt idx="76">
                  <c:v>9.8484547540733047E-2</c:v>
                </c:pt>
                <c:pt idx="77">
                  <c:v>6.6240668383128268E-2</c:v>
                </c:pt>
                <c:pt idx="78">
                  <c:v>3.329573759338586E-2</c:v>
                </c:pt>
                <c:pt idx="79">
                  <c:v>1.6691736272614596E-2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9E-4471-9DDE-31F4CA89A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836480"/>
        <c:axId val="206838400"/>
      </c:scatterChart>
      <c:valAx>
        <c:axId val="20683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v-SE"/>
                  <a:t>Time (s)</a:t>
                </a:r>
              </a:p>
            </c:rich>
          </c:tx>
          <c:layout>
            <c:manualLayout>
              <c:xMode val="edge"/>
              <c:yMode val="edge"/>
              <c:x val="0.40969645862540277"/>
              <c:y val="0.9180799089693324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6838400"/>
        <c:crosses val="autoZero"/>
        <c:crossBetween val="midCat"/>
      </c:valAx>
      <c:valAx>
        <c:axId val="206838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v-SE"/>
                  <a:t>Press Velocity (m/s)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68364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85259808909849E-2"/>
          <c:y val="2.8964619178469455E-2"/>
          <c:w val="0.88640625739961565"/>
          <c:h val="0.93496720514837173"/>
        </c:manualLayout>
      </c:layout>
      <c:scatterChart>
        <c:scatterStyle val="lineMarker"/>
        <c:varyColors val="0"/>
        <c:ser>
          <c:idx val="0"/>
          <c:order val="0"/>
          <c:xVal>
            <c:numRef>
              <c:f>Spring_Back!$C$44:$C$104</c:f>
              <c:numCache>
                <c:formatCode>General</c:formatCode>
                <c:ptCount val="61"/>
              </c:numCache>
            </c:numRef>
          </c:xVal>
          <c:yVal>
            <c:numRef>
              <c:f>Spring_Back!$K$44:$K$104</c:f>
              <c:numCache>
                <c:formatCode>0.0</c:formatCode>
                <c:ptCount val="6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E1-4556-84A6-6FFA3740EEBA}"/>
            </c:ext>
          </c:extLst>
        </c:ser>
        <c:ser>
          <c:idx val="1"/>
          <c:order val="1"/>
          <c:xVal>
            <c:numRef>
              <c:f>Spring_Back!$C$44:$C$94</c:f>
              <c:numCache>
                <c:formatCode>General</c:formatCode>
                <c:ptCount val="51"/>
              </c:numCache>
            </c:numRef>
          </c:xVal>
          <c:yVal>
            <c:numRef>
              <c:f>Spring_Back!$O$44:$O$94</c:f>
              <c:numCache>
                <c:formatCode>General</c:formatCode>
                <c:ptCount val="5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E1-4556-84A6-6FFA3740E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66656"/>
        <c:axId val="206897536"/>
      </c:scatterChart>
      <c:valAx>
        <c:axId val="206166656"/>
        <c:scaling>
          <c:orientation val="minMax"/>
          <c:max val="1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06897536"/>
        <c:crosses val="autoZero"/>
        <c:crossBetween val="midCat"/>
      </c:valAx>
      <c:valAx>
        <c:axId val="206897536"/>
        <c:scaling>
          <c:orientation val="minMax"/>
          <c:max val="4.5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20616665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List" dx="16" fmlaLink="$D$6" fmlaRange="$B$6:$B$7" noThreeD="1" sel="1" val="0"/>
</file>

<file path=xl/ctrlProps/ctrlProp2.xml><?xml version="1.0" encoding="utf-8"?>
<formControlPr xmlns="http://schemas.microsoft.com/office/spreadsheetml/2009/9/main" objectType="List" dx="16" fmlaLink="$B$3" fmlaRange="$F$2:$F5" noThreeD="1" sel="1" val="0"/>
</file>

<file path=xl/ctrlProps/ctrlProp3.xml><?xml version="1.0" encoding="utf-8"?>
<formControlPr xmlns="http://schemas.microsoft.com/office/spreadsheetml/2009/9/main" objectType="List" dx="16" fmlaLink="$D$3" fmlaRange="$H$51:$H66" noThreeD="1" sel="1" val="0"/>
</file>

<file path=xl/ctrlProps/ctrlProp4.xml><?xml version="1.0" encoding="utf-8"?>
<formControlPr xmlns="http://schemas.microsoft.com/office/spreadsheetml/2009/9/main" objectType="List" dx="16" fmlaLink="$M$49" fmlaRange="$M$51:$M$66" noThreeD="1" sel="1" val="0"/>
</file>

<file path=xl/ctrlProps/ctrlProp5.xml><?xml version="1.0" encoding="utf-8"?>
<formControlPr xmlns="http://schemas.microsoft.com/office/spreadsheetml/2009/9/main" objectType="List" dx="16" fmlaLink="$K$51" fmlaRange="Used_Stroke_List" noThreeD="1" sel="1" val="0"/>
</file>

<file path=xl/ctrlProps/ctrlProp6.xml><?xml version="1.0" encoding="utf-8"?>
<formControlPr xmlns="http://schemas.microsoft.com/office/spreadsheetml/2009/9/main" objectType="List" dx="16" fmlaLink="Heat_Factor!$V$16" fmlaRange="$O$51:$O$53" noThreeD="1" sel="1" val="0"/>
</file>

<file path=xl/ctrlProps/ctrlProp7.xml><?xml version="1.0" encoding="utf-8"?>
<formControlPr xmlns="http://schemas.microsoft.com/office/spreadsheetml/2009/9/main" objectType="Drop" dropStyle="combo" dx="16" fmlaLink="Fjäderkurva!$C$66" fmlaRange="Fjäderkurva!$D$66:$D$67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38100</xdr:colOff>
          <xdr:row>8</xdr:row>
          <xdr:rowOff>0</xdr:rowOff>
        </xdr:from>
        <xdr:to>
          <xdr:col>20</xdr:col>
          <xdr:colOff>1114425</xdr:colOff>
          <xdr:row>14</xdr:row>
          <xdr:rowOff>57150</xdr:rowOff>
        </xdr:to>
        <xdr:sp macro="" textlink="">
          <xdr:nvSpPr>
            <xdr:cNvPr id="1025" name="List_Box_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1781175</xdr:colOff>
          <xdr:row>8</xdr:row>
          <xdr:rowOff>0</xdr:rowOff>
        </xdr:from>
        <xdr:to>
          <xdr:col>21</xdr:col>
          <xdr:colOff>790575</xdr:colOff>
          <xdr:row>14</xdr:row>
          <xdr:rowOff>57150</xdr:rowOff>
        </xdr:to>
        <xdr:sp macro="" textlink="">
          <xdr:nvSpPr>
            <xdr:cNvPr id="1026" name="List_Box_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1304925</xdr:colOff>
          <xdr:row>8</xdr:row>
          <xdr:rowOff>0</xdr:rowOff>
        </xdr:from>
        <xdr:to>
          <xdr:col>22</xdr:col>
          <xdr:colOff>657225</xdr:colOff>
          <xdr:row>14</xdr:row>
          <xdr:rowOff>38100</xdr:rowOff>
        </xdr:to>
        <xdr:sp macro="" textlink="">
          <xdr:nvSpPr>
            <xdr:cNvPr id="1028" name="List_Box_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573688</xdr:colOff>
      <xdr:row>0</xdr:row>
      <xdr:rowOff>70906</xdr:rowOff>
    </xdr:from>
    <xdr:to>
      <xdr:col>27</xdr:col>
      <xdr:colOff>391583</xdr:colOff>
      <xdr:row>2</xdr:row>
      <xdr:rowOff>275165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73688" y="70906"/>
          <a:ext cx="5405895" cy="5852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sv-SE" sz="3200" b="1">
              <a:latin typeface="Arial" panose="020B0604020202020204" pitchFamily="34" charset="0"/>
              <a:cs typeface="Arial" panose="020B0604020202020204" pitchFamily="34" charset="0"/>
            </a:rPr>
            <a:t>KF Spring Calculator</a:t>
          </a:r>
          <a:endParaRPr lang="sv-SE" sz="8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19050</xdr:colOff>
      <xdr:row>87</xdr:row>
      <xdr:rowOff>76200</xdr:rowOff>
    </xdr:from>
    <xdr:to>
      <xdr:col>28</xdr:col>
      <xdr:colOff>647700</xdr:colOff>
      <xdr:row>87</xdr:row>
      <xdr:rowOff>76200</xdr:rowOff>
    </xdr:to>
    <xdr:cxnSp macro="">
      <xdr:nvCxnSpPr>
        <xdr:cNvPr id="15" name="Ra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>
          <a:off x="13449300" y="20783550"/>
          <a:ext cx="9620250" cy="0"/>
        </a:xfrm>
        <a:prstGeom prst="line">
          <a:avLst/>
        </a:prstGeom>
        <a:ln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196851</xdr:colOff>
      <xdr:row>89</xdr:row>
      <xdr:rowOff>65617</xdr:rowOff>
    </xdr:from>
    <xdr:to>
      <xdr:col>22</xdr:col>
      <xdr:colOff>781051</xdr:colOff>
      <xdr:row>95</xdr:row>
      <xdr:rowOff>72761</xdr:rowOff>
    </xdr:to>
    <xdr:sp macro="" textlink="">
      <xdr:nvSpPr>
        <xdr:cNvPr id="16" name="textruta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96851" y="19582342"/>
          <a:ext cx="4641850" cy="11501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 not exceed the limits stated in the KALLER catalog. Especially observe the limits regarding max. strokes per minute (spm) and the need for cooling.</a:t>
          </a:r>
          <a:endParaRPr lang="sv-SE" sz="100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n-US" sz="100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Forces and other parameters are calculated from the KALLER catalog values. Other limits and combinations can be accepted under special conditions if approved by KALLER.</a:t>
          </a:r>
          <a:endParaRPr lang="sv-SE" sz="100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247447</xdr:colOff>
      <xdr:row>5</xdr:row>
      <xdr:rowOff>167344</xdr:rowOff>
    </xdr:from>
    <xdr:to>
      <xdr:col>20</xdr:col>
      <xdr:colOff>903194</xdr:colOff>
      <xdr:row>7</xdr:row>
      <xdr:rowOff>101833</xdr:rowOff>
    </xdr:to>
    <xdr:sp macro="" textlink="">
      <xdr:nvSpPr>
        <xdr:cNvPr id="8" name="textruta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3425565" y="1668932"/>
          <a:ext cx="913482" cy="3379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>
              <a:latin typeface="Arial" panose="020B0604020202020204" pitchFamily="34" charset="0"/>
              <a:cs typeface="Arial" panose="020B0604020202020204" pitchFamily="34" charset="0"/>
            </a:rPr>
            <a:t>Type</a:t>
          </a:r>
        </a:p>
      </xdr:txBody>
    </xdr:sp>
    <xdr:clientData/>
  </xdr:twoCellAnchor>
  <xdr:twoCellAnchor>
    <xdr:from>
      <xdr:col>20</xdr:col>
      <xdr:colOff>1733273</xdr:colOff>
      <xdr:row>5</xdr:row>
      <xdr:rowOff>174148</xdr:rowOff>
    </xdr:from>
    <xdr:to>
      <xdr:col>21</xdr:col>
      <xdr:colOff>829235</xdr:colOff>
      <xdr:row>7</xdr:row>
      <xdr:rowOff>92049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5169126" y="1675736"/>
          <a:ext cx="1169050" cy="32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>
              <a:latin typeface="Arial" panose="020B0604020202020204" pitchFamily="34" charset="0"/>
              <a:cs typeface="Arial" panose="020B0604020202020204" pitchFamily="34" charset="0"/>
            </a:rPr>
            <a:t>Size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152400</xdr:colOff>
          <xdr:row>8</xdr:row>
          <xdr:rowOff>0</xdr:rowOff>
        </xdr:from>
        <xdr:to>
          <xdr:col>26</xdr:col>
          <xdr:colOff>495300</xdr:colOff>
          <xdr:row>14</xdr:row>
          <xdr:rowOff>28575</xdr:rowOff>
        </xdr:to>
        <xdr:sp macro="" textlink="">
          <xdr:nvSpPr>
            <xdr:cNvPr id="1047" name="List_box_Quantity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553928</xdr:colOff>
      <xdr:row>8</xdr:row>
      <xdr:rowOff>69852</xdr:rowOff>
    </xdr:from>
    <xdr:to>
      <xdr:col>2</xdr:col>
      <xdr:colOff>47625</xdr:colOff>
      <xdr:row>10</xdr:row>
      <xdr:rowOff>4341</xdr:rowOff>
    </xdr:to>
    <xdr:sp macro="" textlink="">
      <xdr:nvSpPr>
        <xdr:cNvPr id="30" name="textruta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553928" y="1765302"/>
          <a:ext cx="941497" cy="315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>
              <a:latin typeface="Arial" panose="020B0604020202020204" pitchFamily="34" charset="0"/>
              <a:cs typeface="Arial" panose="020B0604020202020204" pitchFamily="34" charset="0"/>
            </a:rPr>
            <a:t>KF - Type</a:t>
          </a:r>
        </a:p>
      </xdr:txBody>
    </xdr:sp>
    <xdr:clientData/>
  </xdr:twoCellAnchor>
  <xdr:twoCellAnchor>
    <xdr:from>
      <xdr:col>25</xdr:col>
      <xdr:colOff>98053</xdr:colOff>
      <xdr:row>5</xdr:row>
      <xdr:rowOff>167344</xdr:rowOff>
    </xdr:from>
    <xdr:to>
      <xdr:col>26</xdr:col>
      <xdr:colOff>301644</xdr:colOff>
      <xdr:row>7</xdr:row>
      <xdr:rowOff>101833</xdr:rowOff>
    </xdr:to>
    <xdr:sp macro="" textlink="">
      <xdr:nvSpPr>
        <xdr:cNvPr id="31" name="textruta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0235024" y="1668932"/>
          <a:ext cx="931973" cy="3379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>
              <a:latin typeface="Arial" panose="020B0604020202020204" pitchFamily="34" charset="0"/>
              <a:cs typeface="Arial" panose="020B0604020202020204" pitchFamily="34" charset="0"/>
            </a:rPr>
            <a:t>Quantity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171450</xdr:colOff>
          <xdr:row>8</xdr:row>
          <xdr:rowOff>0</xdr:rowOff>
        </xdr:from>
        <xdr:to>
          <xdr:col>24</xdr:col>
          <xdr:colOff>514350</xdr:colOff>
          <xdr:row>14</xdr:row>
          <xdr:rowOff>19050</xdr:rowOff>
        </xdr:to>
        <xdr:sp macro="" textlink="">
          <xdr:nvSpPr>
            <xdr:cNvPr id="1048" name="List_Box_UsedStroke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20</xdr:col>
      <xdr:colOff>3023</xdr:colOff>
      <xdr:row>21</xdr:row>
      <xdr:rowOff>135463</xdr:rowOff>
    </xdr:from>
    <xdr:to>
      <xdr:col>24</xdr:col>
      <xdr:colOff>461723</xdr:colOff>
      <xdr:row>38</xdr:row>
      <xdr:rowOff>105833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0</xdr:colOff>
          <xdr:row>57</xdr:row>
          <xdr:rowOff>28575</xdr:rowOff>
        </xdr:from>
        <xdr:to>
          <xdr:col>20</xdr:col>
          <xdr:colOff>1800225</xdr:colOff>
          <xdr:row>60</xdr:row>
          <xdr:rowOff>114300</xdr:rowOff>
        </xdr:to>
        <xdr:sp macro="" textlink="">
          <xdr:nvSpPr>
            <xdr:cNvPr id="1054" name="ListBox_Cooling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979236</xdr:colOff>
      <xdr:row>89</xdr:row>
      <xdr:rowOff>65617</xdr:rowOff>
    </xdr:from>
    <xdr:to>
      <xdr:col>28</xdr:col>
      <xdr:colOff>152400</xdr:colOff>
      <xdr:row>94</xdr:row>
      <xdr:rowOff>65617</xdr:rowOff>
    </xdr:to>
    <xdr:sp macro="" textlink="">
      <xdr:nvSpPr>
        <xdr:cNvPr id="22" name="textruta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5036886" y="19582342"/>
          <a:ext cx="4364289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 no event shall KALLER be liable for any direct, indirect, incidental, punitive, or consequential damage.</a:t>
          </a:r>
          <a:endParaRPr lang="sv-SE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903816</xdr:colOff>
      <xdr:row>56</xdr:row>
      <xdr:rowOff>94190</xdr:rowOff>
    </xdr:from>
    <xdr:to>
      <xdr:col>28</xdr:col>
      <xdr:colOff>208458</xdr:colOff>
      <xdr:row>72</xdr:row>
      <xdr:rowOff>106190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99872</xdr:colOff>
      <xdr:row>5</xdr:row>
      <xdr:rowOff>167345</xdr:rowOff>
    </xdr:from>
    <xdr:to>
      <xdr:col>24</xdr:col>
      <xdr:colOff>683278</xdr:colOff>
      <xdr:row>8</xdr:row>
      <xdr:rowOff>10584</xdr:rowOff>
    </xdr:to>
    <xdr:sp macro="" textlink="">
      <xdr:nvSpPr>
        <xdr:cNvPr id="32" name="textruta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12746955" y="1670178"/>
          <a:ext cx="1324240" cy="435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>
              <a:latin typeface="Arial" panose="020B0604020202020204" pitchFamily="34" charset="0"/>
              <a:cs typeface="Arial" panose="020B0604020202020204" pitchFamily="34" charset="0"/>
            </a:rPr>
            <a:t>Adjusted Stroke Length (mm)</a:t>
          </a:r>
        </a:p>
      </xdr:txBody>
    </xdr:sp>
    <xdr:clientData/>
  </xdr:twoCellAnchor>
  <xdr:twoCellAnchor>
    <xdr:from>
      <xdr:col>21</xdr:col>
      <xdr:colOff>1225563</xdr:colOff>
      <xdr:row>5</xdr:row>
      <xdr:rowOff>167344</xdr:rowOff>
    </xdr:from>
    <xdr:to>
      <xdr:col>22</xdr:col>
      <xdr:colOff>717033</xdr:colOff>
      <xdr:row>8</xdr:row>
      <xdr:rowOff>10583</xdr:rowOff>
    </xdr:to>
    <xdr:sp macro="" textlink="">
      <xdr:nvSpPr>
        <xdr:cNvPr id="29" name="textruta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11163313" y="1670177"/>
          <a:ext cx="1216553" cy="435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>
              <a:latin typeface="Arial" panose="020B0604020202020204" pitchFamily="34" charset="0"/>
              <a:cs typeface="Arial" panose="020B0604020202020204" pitchFamily="34" charset="0"/>
            </a:rPr>
            <a:t>Nominal Stroke Length (mm)</a:t>
          </a:r>
        </a:p>
      </xdr:txBody>
    </xdr:sp>
    <xdr:clientData/>
  </xdr:twoCellAnchor>
  <xdr:twoCellAnchor editAs="oneCell">
    <xdr:from>
      <xdr:col>25</xdr:col>
      <xdr:colOff>0</xdr:colOff>
      <xdr:row>0</xdr:row>
      <xdr:rowOff>0</xdr:rowOff>
    </xdr:from>
    <xdr:to>
      <xdr:col>28</xdr:col>
      <xdr:colOff>323314</xdr:colOff>
      <xdr:row>2</xdr:row>
      <xdr:rowOff>228653</xdr:rowOff>
    </xdr:to>
    <xdr:pic>
      <xdr:nvPicPr>
        <xdr:cNvPr id="10" name="Kaller_Logo_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62775" y="0"/>
          <a:ext cx="2609314" cy="609653"/>
        </a:xfrm>
        <a:prstGeom prst="rect">
          <a:avLst/>
        </a:prstGeom>
      </xdr:spPr>
    </xdr:pic>
    <xdr:clientData/>
  </xdr:twoCellAnchor>
  <xdr:twoCellAnchor editAs="oneCell">
    <xdr:from>
      <xdr:col>29</xdr:col>
      <xdr:colOff>723900</xdr:colOff>
      <xdr:row>7</xdr:row>
      <xdr:rowOff>133350</xdr:rowOff>
    </xdr:from>
    <xdr:to>
      <xdr:col>40</xdr:col>
      <xdr:colOff>225769</xdr:colOff>
      <xdr:row>28</xdr:row>
      <xdr:rowOff>5990</xdr:rowOff>
    </xdr:to>
    <xdr:pic>
      <xdr:nvPicPr>
        <xdr:cNvPr id="23" name="KF2-A_Imag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48950" y="1714500"/>
          <a:ext cx="6969469" cy="3911240"/>
        </a:xfrm>
        <a:prstGeom prst="rect">
          <a:avLst/>
        </a:prstGeom>
      </xdr:spPr>
    </xdr:pic>
    <xdr:clientData/>
  </xdr:twoCellAnchor>
  <xdr:twoCellAnchor editAs="oneCell">
    <xdr:from>
      <xdr:col>29</xdr:col>
      <xdr:colOff>762000</xdr:colOff>
      <xdr:row>8</xdr:row>
      <xdr:rowOff>0</xdr:rowOff>
    </xdr:from>
    <xdr:to>
      <xdr:col>38</xdr:col>
      <xdr:colOff>635631</xdr:colOff>
      <xdr:row>25</xdr:row>
      <xdr:rowOff>39204</xdr:rowOff>
    </xdr:to>
    <xdr:pic>
      <xdr:nvPicPr>
        <xdr:cNvPr id="24" name="KF2_Image" hidden="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87050" y="1733550"/>
          <a:ext cx="6007731" cy="3353904"/>
        </a:xfrm>
        <a:prstGeom prst="rect">
          <a:avLst/>
        </a:prstGeom>
      </xdr:spPr>
    </xdr:pic>
    <xdr:clientData/>
  </xdr:twoCellAnchor>
  <xdr:twoCellAnchor editAs="oneCell">
    <xdr:from>
      <xdr:col>23</xdr:col>
      <xdr:colOff>142875</xdr:colOff>
      <xdr:row>5</xdr:row>
      <xdr:rowOff>85725</xdr:rowOff>
    </xdr:from>
    <xdr:to>
      <xdr:col>24</xdr:col>
      <xdr:colOff>930328</xdr:colOff>
      <xdr:row>14</xdr:row>
      <xdr:rowOff>71070</xdr:rowOff>
    </xdr:to>
    <xdr:pic>
      <xdr:nvPicPr>
        <xdr:cNvPr id="25" name="ListBox_Cover_Image" hidden="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81600" y="1209675"/>
          <a:ext cx="1530403" cy="1785570"/>
        </a:xfrm>
        <a:prstGeom prst="rect">
          <a:avLst/>
        </a:prstGeom>
      </xdr:spPr>
    </xdr:pic>
    <xdr:clientData/>
  </xdr:twoCellAnchor>
  <xdr:twoCellAnchor editAs="oneCell">
    <xdr:from>
      <xdr:col>29</xdr:col>
      <xdr:colOff>704850</xdr:colOff>
      <xdr:row>50</xdr:row>
      <xdr:rowOff>171450</xdr:rowOff>
    </xdr:from>
    <xdr:to>
      <xdr:col>34</xdr:col>
      <xdr:colOff>476976</xdr:colOff>
      <xdr:row>64</xdr:row>
      <xdr:rowOff>83230</xdr:rowOff>
    </xdr:to>
    <xdr:pic>
      <xdr:nvPicPr>
        <xdr:cNvPr id="26" name="Liquid_Cooler_Image" hidden="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629900" y="10058400"/>
          <a:ext cx="3124926" cy="2597830"/>
        </a:xfrm>
        <a:prstGeom prst="rect">
          <a:avLst/>
        </a:prstGeom>
      </xdr:spPr>
    </xdr:pic>
    <xdr:clientData/>
  </xdr:twoCellAnchor>
  <xdr:twoCellAnchor editAs="oneCell">
    <xdr:from>
      <xdr:col>29</xdr:col>
      <xdr:colOff>609600</xdr:colOff>
      <xdr:row>50</xdr:row>
      <xdr:rowOff>57150</xdr:rowOff>
    </xdr:from>
    <xdr:to>
      <xdr:col>35</xdr:col>
      <xdr:colOff>96490</xdr:colOff>
      <xdr:row>64</xdr:row>
      <xdr:rowOff>105155</xdr:rowOff>
    </xdr:to>
    <xdr:pic>
      <xdr:nvPicPr>
        <xdr:cNvPr id="27" name="Nitro_Cooler_Image" hidden="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34650" y="9944100"/>
          <a:ext cx="3620740" cy="27340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83</xdr:row>
      <xdr:rowOff>133350</xdr:rowOff>
    </xdr:from>
    <xdr:to>
      <xdr:col>4</xdr:col>
      <xdr:colOff>1971675</xdr:colOff>
      <xdr:row>96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2133600</xdr:colOff>
      <xdr:row>70</xdr:row>
      <xdr:rowOff>104774</xdr:rowOff>
    </xdr:from>
    <xdr:to>
      <xdr:col>4</xdr:col>
      <xdr:colOff>5619750</xdr:colOff>
      <xdr:row>83</xdr:row>
      <xdr:rowOff>38099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133350</xdr:colOff>
      <xdr:row>70</xdr:row>
      <xdr:rowOff>95249</xdr:rowOff>
    </xdr:from>
    <xdr:to>
      <xdr:col>4</xdr:col>
      <xdr:colOff>1933575</xdr:colOff>
      <xdr:row>83</xdr:row>
      <xdr:rowOff>38100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2152650</xdr:colOff>
      <xdr:row>83</xdr:row>
      <xdr:rowOff>161925</xdr:rowOff>
    </xdr:from>
    <xdr:to>
      <xdr:col>4</xdr:col>
      <xdr:colOff>5705475</xdr:colOff>
      <xdr:row>96</xdr:row>
      <xdr:rowOff>123825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561975</xdr:colOff>
      <xdr:row>3</xdr:row>
      <xdr:rowOff>152400</xdr:rowOff>
    </xdr:from>
    <xdr:to>
      <xdr:col>35</xdr:col>
      <xdr:colOff>75499</xdr:colOff>
      <xdr:row>25</xdr:row>
      <xdr:rowOff>18543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11450" y="723900"/>
          <a:ext cx="5609524" cy="40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400050</xdr:colOff>
      <xdr:row>28</xdr:row>
      <xdr:rowOff>76200</xdr:rowOff>
    </xdr:from>
    <xdr:to>
      <xdr:col>42</xdr:col>
      <xdr:colOff>608736</xdr:colOff>
      <xdr:row>57</xdr:row>
      <xdr:rowOff>46938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07225" y="5410200"/>
          <a:ext cx="6914286" cy="5495238"/>
        </a:xfrm>
        <a:prstGeom prst="rect">
          <a:avLst/>
        </a:prstGeom>
      </xdr:spPr>
    </xdr:pic>
    <xdr:clientData/>
  </xdr:twoCellAnchor>
  <xdr:twoCellAnchor>
    <xdr:from>
      <xdr:col>21</xdr:col>
      <xdr:colOff>228600</xdr:colOff>
      <xdr:row>7</xdr:row>
      <xdr:rowOff>76200</xdr:rowOff>
    </xdr:from>
    <xdr:to>
      <xdr:col>32</xdr:col>
      <xdr:colOff>457200</xdr:colOff>
      <xdr:row>30</xdr:row>
      <xdr:rowOff>0</xdr:rowOff>
    </xdr:to>
    <xdr:graphicFrame macro="">
      <xdr:nvGraphicFramePr>
        <xdr:cNvPr id="5" name="Diagram 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571499</xdr:colOff>
      <xdr:row>34</xdr:row>
      <xdr:rowOff>119062</xdr:rowOff>
    </xdr:from>
    <xdr:to>
      <xdr:col>31</xdr:col>
      <xdr:colOff>371474</xdr:colOff>
      <xdr:row>52</xdr:row>
      <xdr:rowOff>19050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59533</xdr:colOff>
      <xdr:row>31</xdr:row>
      <xdr:rowOff>119062</xdr:rowOff>
    </xdr:from>
    <xdr:to>
      <xdr:col>56</xdr:col>
      <xdr:colOff>35720</xdr:colOff>
      <xdr:row>68</xdr:row>
      <xdr:rowOff>130969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452436</xdr:colOff>
      <xdr:row>26</xdr:row>
      <xdr:rowOff>83343</xdr:rowOff>
    </xdr:from>
    <xdr:to>
      <xdr:col>8</xdr:col>
      <xdr:colOff>750094</xdr:colOff>
      <xdr:row>57</xdr:row>
      <xdr:rowOff>95250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416718</xdr:colOff>
      <xdr:row>58</xdr:row>
      <xdr:rowOff>0</xdr:rowOff>
    </xdr:from>
    <xdr:to>
      <xdr:col>8</xdr:col>
      <xdr:colOff>738186</xdr:colOff>
      <xdr:row>84</xdr:row>
      <xdr:rowOff>107156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0</xdr:colOff>
      <xdr:row>90</xdr:row>
      <xdr:rowOff>0</xdr:rowOff>
    </xdr:from>
    <xdr:to>
      <xdr:col>6</xdr:col>
      <xdr:colOff>1844665</xdr:colOff>
      <xdr:row>147</xdr:row>
      <xdr:rowOff>151024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45719" y="17145000"/>
          <a:ext cx="6428571" cy="11009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28575</xdr:rowOff>
        </xdr:from>
        <xdr:to>
          <xdr:col>2</xdr:col>
          <xdr:colOff>485775</xdr:colOff>
          <xdr:row>19</xdr:row>
          <xdr:rowOff>152400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590551</xdr:colOff>
      <xdr:row>22</xdr:row>
      <xdr:rowOff>133350</xdr:rowOff>
    </xdr:from>
    <xdr:to>
      <xdr:col>13</xdr:col>
      <xdr:colOff>533401</xdr:colOff>
      <xdr:row>40</xdr:row>
      <xdr:rowOff>180975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</xdr:row>
      <xdr:rowOff>171450</xdr:rowOff>
    </xdr:from>
    <xdr:to>
      <xdr:col>13</xdr:col>
      <xdr:colOff>561975</xdr:colOff>
      <xdr:row>66</xdr:row>
      <xdr:rowOff>47625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180975</xdr:colOff>
      <xdr:row>8</xdr:row>
      <xdr:rowOff>114300</xdr:rowOff>
    </xdr:from>
    <xdr:to>
      <xdr:col>19</xdr:col>
      <xdr:colOff>158865</xdr:colOff>
      <xdr:row>24</xdr:row>
      <xdr:rowOff>187420</xdr:rowOff>
    </xdr:to>
    <xdr:grpSp>
      <xdr:nvGrpSpPr>
        <xdr:cNvPr id="7" name="Grupp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pSpPr/>
      </xdr:nvGrpSpPr>
      <xdr:grpSpPr>
        <a:xfrm>
          <a:off x="10563225" y="1638300"/>
          <a:ext cx="2274473" cy="3184620"/>
          <a:chOff x="13537406" y="8096250"/>
          <a:chExt cx="2262188" cy="3117037"/>
        </a:xfrm>
      </xdr:grpSpPr>
      <xdr:sp macro="" textlink="">
        <xdr:nvSpPr>
          <xdr:cNvPr id="8" name="Rektangel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14011276" y="10106006"/>
            <a:ext cx="178594" cy="1107281"/>
          </a:xfrm>
          <a:prstGeom prst="rect">
            <a:avLst/>
          </a:prstGeom>
          <a:solidFill>
            <a:schemeClr val="accent1">
              <a:alpha val="30000"/>
            </a:schemeClr>
          </a:solidFill>
          <a:ln>
            <a:solidFill>
              <a:schemeClr val="accent1">
                <a:shade val="50000"/>
                <a:alpha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v-SE" sz="1100"/>
          </a:p>
        </xdr:txBody>
      </xdr:sp>
      <xdr:sp macro="" textlink="">
        <xdr:nvSpPr>
          <xdr:cNvPr id="9" name="Rektangel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/>
        </xdr:nvSpPr>
        <xdr:spPr>
          <a:xfrm>
            <a:off x="14013658" y="9608325"/>
            <a:ext cx="178594" cy="1107281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v-SE" sz="1100"/>
          </a:p>
        </xdr:txBody>
      </xdr:sp>
      <xdr:sp macro="" textlink="">
        <xdr:nvSpPr>
          <xdr:cNvPr id="10" name="Ellips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/>
        </xdr:nvSpPr>
        <xdr:spPr>
          <a:xfrm>
            <a:off x="13537406" y="8096250"/>
            <a:ext cx="1083469" cy="1083469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v-SE" sz="1100"/>
          </a:p>
        </xdr:txBody>
      </xdr:sp>
      <xdr:sp macro="" textlink="">
        <xdr:nvSpPr>
          <xdr:cNvPr id="11" name="Ellips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SpPr/>
        </xdr:nvSpPr>
        <xdr:spPr>
          <a:xfrm>
            <a:off x="14442282" y="8536781"/>
            <a:ext cx="166688" cy="166688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v-SE" sz="1100"/>
          </a:p>
        </xdr:txBody>
      </xdr:sp>
      <xdr:sp macro="" textlink="">
        <xdr:nvSpPr>
          <xdr:cNvPr id="12" name="Rektangel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/>
        </xdr:nvSpPr>
        <xdr:spPr>
          <a:xfrm rot="907356">
            <a:off x="14243039" y="8692338"/>
            <a:ext cx="150099" cy="1537565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v-SE" sz="1100"/>
          </a:p>
        </xdr:txBody>
      </xdr:sp>
      <xdr:sp macro="" textlink="">
        <xdr:nvSpPr>
          <xdr:cNvPr id="13" name="Ellips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/>
        </xdr:nvSpPr>
        <xdr:spPr>
          <a:xfrm>
            <a:off x="14011276" y="10177463"/>
            <a:ext cx="166688" cy="166688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v-SE" sz="1100"/>
          </a:p>
        </xdr:txBody>
      </xdr:sp>
      <xdr:sp macro="" textlink="">
        <xdr:nvSpPr>
          <xdr:cNvPr id="14" name="Ellips 13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/>
        </xdr:nvSpPr>
        <xdr:spPr>
          <a:xfrm>
            <a:off x="14011275" y="8546307"/>
            <a:ext cx="166688" cy="166688"/>
          </a:xfrm>
          <a:prstGeom prst="ellips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v-SE" sz="1100"/>
          </a:p>
        </xdr:txBody>
      </xdr:sp>
      <xdr:cxnSp macro="">
        <xdr:nvCxnSpPr>
          <xdr:cNvPr id="15" name="Rak 14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CxnSpPr/>
        </xdr:nvCxnSpPr>
        <xdr:spPr>
          <a:xfrm>
            <a:off x="14263688" y="10703719"/>
            <a:ext cx="583406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Rak 15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CxnSpPr/>
        </xdr:nvCxnSpPr>
        <xdr:spPr>
          <a:xfrm>
            <a:off x="14273214" y="11201400"/>
            <a:ext cx="583406" cy="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Rak 16">
            <a:extLst>
              <a:ext uri="{FF2B5EF4-FFF2-40B4-BE49-F238E27FC236}">
                <a16:creationId xmlns:a16="http://schemas.microsoft.com/office/drawing/2014/main" id="{00000000-0008-0000-0700-000011000000}"/>
              </a:ext>
            </a:extLst>
          </xdr:cNvPr>
          <xdr:cNvCxnSpPr/>
        </xdr:nvCxnSpPr>
        <xdr:spPr>
          <a:xfrm>
            <a:off x="14630400" y="8653463"/>
            <a:ext cx="502444" cy="13335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Rak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CxnSpPr/>
        </xdr:nvCxnSpPr>
        <xdr:spPr>
          <a:xfrm>
            <a:off x="14092238" y="10246520"/>
            <a:ext cx="597694" cy="145256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9" name="textruta 18">
            <a:extLst>
              <a:ext uri="{FF2B5EF4-FFF2-40B4-BE49-F238E27FC236}">
                <a16:creationId xmlns:a16="http://schemas.microsoft.com/office/drawing/2014/main" id="{00000000-0008-0000-0700-000013000000}"/>
              </a:ext>
            </a:extLst>
          </xdr:cNvPr>
          <xdr:cNvSpPr txBox="1"/>
        </xdr:nvSpPr>
        <xdr:spPr>
          <a:xfrm>
            <a:off x="14525625" y="10798968"/>
            <a:ext cx="1273969" cy="333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v-SE" sz="1100"/>
              <a:t>Press Stroke</a:t>
            </a:r>
          </a:p>
        </xdr:txBody>
      </xdr:sp>
      <xdr:sp macro="" textlink="">
        <xdr:nvSpPr>
          <xdr:cNvPr id="20" name="textruta 19">
            <a:extLst>
              <a:ext uri="{FF2B5EF4-FFF2-40B4-BE49-F238E27FC236}">
                <a16:creationId xmlns:a16="http://schemas.microsoft.com/office/drawing/2014/main" id="{00000000-0008-0000-0700-000014000000}"/>
              </a:ext>
            </a:extLst>
          </xdr:cNvPr>
          <xdr:cNvSpPr txBox="1"/>
        </xdr:nvSpPr>
        <xdr:spPr>
          <a:xfrm rot="17165365">
            <a:off x="14094619" y="9165431"/>
            <a:ext cx="1273969" cy="333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v-SE" sz="1100"/>
              <a:t>Rod Length</a:t>
            </a:r>
          </a:p>
        </xdr:txBody>
      </xdr:sp>
      <xdr:cxnSp macro="">
        <xdr:nvCxnSpPr>
          <xdr:cNvPr id="21" name="Rak pil 20">
            <a:extLst>
              <a:ext uri="{FF2B5EF4-FFF2-40B4-BE49-F238E27FC236}">
                <a16:creationId xmlns:a16="http://schemas.microsoft.com/office/drawing/2014/main" id="{00000000-0008-0000-0700-000015000000}"/>
              </a:ext>
            </a:extLst>
          </xdr:cNvPr>
          <xdr:cNvCxnSpPr/>
        </xdr:nvCxnSpPr>
        <xdr:spPr>
          <a:xfrm flipV="1">
            <a:off x="14525625" y="8763000"/>
            <a:ext cx="476250" cy="1571625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Rak pil 21">
            <a:extLst>
              <a:ext uri="{FF2B5EF4-FFF2-40B4-BE49-F238E27FC236}">
                <a16:creationId xmlns:a16="http://schemas.microsoft.com/office/drawing/2014/main" id="{00000000-0008-0000-0700-000016000000}"/>
              </a:ext>
            </a:extLst>
          </xdr:cNvPr>
          <xdr:cNvCxnSpPr/>
        </xdr:nvCxnSpPr>
        <xdr:spPr>
          <a:xfrm>
            <a:off x="14501813" y="10727531"/>
            <a:ext cx="11906" cy="464344"/>
          </a:xfrm>
          <a:prstGeom prst="straightConnector1">
            <a:avLst/>
          </a:prstGeom>
          <a:ln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16</xdr:col>
      <xdr:colOff>0</xdr:colOff>
      <xdr:row>38</xdr:row>
      <xdr:rowOff>0</xdr:rowOff>
    </xdr:from>
    <xdr:to>
      <xdr:col>24</xdr:col>
      <xdr:colOff>74165</xdr:colOff>
      <xdr:row>55</xdr:row>
      <xdr:rowOff>15108</xdr:rowOff>
    </xdr:to>
    <xdr:graphicFrame macro="">
      <xdr:nvGraphicFramePr>
        <xdr:cNvPr id="23" name="Diagram 6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kaller.com?subject=Feedback%20Force%20and%20temperature%20calculator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pageSetUpPr fitToPage="1"/>
  </sheetPr>
  <dimension ref="A1:BG350"/>
  <sheetViews>
    <sheetView showRowColHeaders="0" tabSelected="1" topLeftCell="T1" zoomScaleNormal="100" workbookViewId="0">
      <selection activeCell="W21" sqref="W21"/>
    </sheetView>
  </sheetViews>
  <sheetFormatPr defaultColWidth="10" defaultRowHeight="15" x14ac:dyDescent="0.25"/>
  <cols>
    <col min="1" max="1" width="9.7109375" hidden="1" customWidth="1"/>
    <col min="2" max="2" width="9.140625" hidden="1" customWidth="1"/>
    <col min="3" max="3" width="8.85546875" hidden="1" customWidth="1"/>
    <col min="4" max="4" width="10.7109375" hidden="1" customWidth="1"/>
    <col min="5" max="5" width="13" hidden="1" customWidth="1"/>
    <col min="6" max="6" width="9.140625" hidden="1" customWidth="1"/>
    <col min="7" max="7" width="10.7109375" hidden="1" customWidth="1"/>
    <col min="8" max="8" width="9.7109375" hidden="1" customWidth="1"/>
    <col min="9" max="9" width="10.140625" hidden="1" customWidth="1"/>
    <col min="10" max="10" width="9.85546875" hidden="1" customWidth="1"/>
    <col min="11" max="11" width="11.42578125" hidden="1" customWidth="1"/>
    <col min="12" max="12" width="13.5703125" hidden="1" customWidth="1"/>
    <col min="13" max="13" width="16.85546875" hidden="1" customWidth="1"/>
    <col min="14" max="14" width="13.5703125" hidden="1" customWidth="1"/>
    <col min="15" max="15" width="12.85546875" hidden="1" customWidth="1"/>
    <col min="16" max="16" width="14.42578125" hidden="1" customWidth="1"/>
    <col min="17" max="17" width="18.7109375" hidden="1" customWidth="1"/>
    <col min="18" max="18" width="15.28515625" hidden="1" customWidth="1"/>
    <col min="19" max="19" width="11.7109375" hidden="1" customWidth="1"/>
    <col min="20" max="20" width="3.85546875" customWidth="1"/>
    <col min="21" max="21" width="31.140625" customWidth="1"/>
    <col min="22" max="22" width="25.85546875" customWidth="1"/>
    <col min="23" max="23" width="14.7109375" customWidth="1"/>
    <col min="24" max="24" width="11.140625" customWidth="1"/>
    <col min="25" max="25" width="17.7109375" customWidth="1"/>
    <col min="26" max="26" width="11" customWidth="1"/>
    <col min="27" max="27" width="8.85546875" customWidth="1"/>
    <col min="28" max="28" width="14.42578125" customWidth="1"/>
    <col min="29" max="29" width="9.28515625" customWidth="1"/>
    <col min="30" max="30" width="11.5703125" customWidth="1"/>
    <col min="31" max="31" width="8.42578125" customWidth="1"/>
    <col min="32" max="32" width="9.85546875" customWidth="1"/>
    <col min="33" max="33" width="9.85546875" style="65" customWidth="1"/>
    <col min="34" max="34" width="10" style="1"/>
    <col min="35" max="35" width="11.5703125" style="1" bestFit="1" customWidth="1"/>
    <col min="36" max="42" width="10" style="1"/>
  </cols>
  <sheetData>
    <row r="1" spans="1:53" x14ac:dyDescent="0.25">
      <c r="A1" s="68"/>
      <c r="B1" s="68"/>
      <c r="C1" s="68"/>
      <c r="D1" s="68"/>
      <c r="E1" s="68"/>
      <c r="F1" s="69" t="s">
        <v>21</v>
      </c>
      <c r="G1" s="69" t="s">
        <v>22</v>
      </c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4"/>
      <c r="U1" s="4"/>
      <c r="V1" s="4"/>
      <c r="W1" s="4"/>
      <c r="X1" s="4"/>
      <c r="Y1" s="4"/>
      <c r="Z1" s="4"/>
      <c r="AA1" s="4"/>
      <c r="AB1" s="4"/>
      <c r="AC1" s="5"/>
      <c r="AD1" s="130"/>
      <c r="AE1" s="130"/>
      <c r="AF1" s="130"/>
      <c r="AG1" s="129"/>
      <c r="AH1" s="48"/>
      <c r="AI1" s="48"/>
      <c r="AJ1" s="48"/>
      <c r="AK1" s="48"/>
      <c r="AL1" s="48"/>
      <c r="AM1" s="48"/>
      <c r="AN1" s="48"/>
      <c r="AO1" s="48"/>
      <c r="AP1" s="4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</row>
    <row r="2" spans="1:53" x14ac:dyDescent="0.25">
      <c r="A2" s="68"/>
      <c r="B2" s="69" t="s">
        <v>18</v>
      </c>
      <c r="C2" s="69" t="s">
        <v>19</v>
      </c>
      <c r="D2" s="69" t="s">
        <v>20</v>
      </c>
      <c r="E2" s="68"/>
      <c r="F2" s="68" t="s">
        <v>29</v>
      </c>
      <c r="G2" s="68">
        <v>1500</v>
      </c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4"/>
      <c r="U2" s="4"/>
      <c r="V2" s="4"/>
      <c r="W2" s="4"/>
      <c r="X2" s="4"/>
      <c r="Y2" s="4"/>
      <c r="Z2" s="4"/>
      <c r="AA2" s="5"/>
      <c r="AB2" s="5"/>
      <c r="AC2" s="5"/>
      <c r="AD2" s="130"/>
      <c r="AE2" s="130"/>
      <c r="AF2" s="130"/>
      <c r="AG2" s="129"/>
      <c r="AH2" s="48"/>
      <c r="AI2" s="48"/>
      <c r="AJ2" s="48"/>
      <c r="AK2" s="48"/>
      <c r="AL2" s="48"/>
      <c r="AM2" s="48"/>
      <c r="AN2" s="48"/>
      <c r="AO2" s="48"/>
      <c r="AP2" s="4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</row>
    <row r="3" spans="1:53" ht="23.25" customHeight="1" x14ac:dyDescent="0.25">
      <c r="A3" s="68"/>
      <c r="B3" s="70">
        <v>1</v>
      </c>
      <c r="C3" s="70">
        <v>1</v>
      </c>
      <c r="D3" s="70">
        <v>1</v>
      </c>
      <c r="E3" s="68"/>
      <c r="F3" s="68" t="s">
        <v>30</v>
      </c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5"/>
      <c r="U3" s="4"/>
      <c r="V3" s="4"/>
      <c r="W3" s="4"/>
      <c r="X3" s="4"/>
      <c r="Y3" s="4"/>
      <c r="Z3" s="4"/>
      <c r="AA3" s="4"/>
      <c r="AB3" s="4"/>
      <c r="AC3" s="5"/>
      <c r="AD3" s="130"/>
      <c r="AE3" s="130"/>
      <c r="AF3" s="130"/>
      <c r="AG3" s="129"/>
      <c r="AH3" s="48"/>
      <c r="AI3" s="48"/>
      <c r="AJ3" s="48"/>
      <c r="AK3" s="48"/>
      <c r="AL3" s="48"/>
      <c r="AM3" s="48"/>
      <c r="AN3" s="48"/>
      <c r="AO3" s="48"/>
      <c r="AP3" s="4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</row>
    <row r="4" spans="1:53" x14ac:dyDescent="0.25">
      <c r="A4" s="68"/>
      <c r="B4" s="68"/>
      <c r="C4" s="68"/>
      <c r="D4" s="68"/>
      <c r="E4" s="68"/>
      <c r="F4" s="68" t="s">
        <v>31</v>
      </c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2"/>
      <c r="U4" s="11"/>
      <c r="V4" s="12"/>
      <c r="W4" s="13"/>
      <c r="X4" s="11"/>
      <c r="Y4" s="2"/>
      <c r="Z4" s="2"/>
      <c r="AA4" s="2"/>
      <c r="AB4" s="2"/>
      <c r="AC4" s="2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</row>
    <row r="5" spans="1:53" ht="20.25" x14ac:dyDescent="0.3">
      <c r="A5" s="71" t="s">
        <v>15</v>
      </c>
      <c r="B5" s="71"/>
      <c r="C5" s="71"/>
      <c r="D5" s="69" t="s">
        <v>17</v>
      </c>
      <c r="E5" s="68"/>
      <c r="F5" s="68" t="s">
        <v>32</v>
      </c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2"/>
      <c r="U5" s="17" t="s">
        <v>894</v>
      </c>
      <c r="V5" s="16"/>
      <c r="W5" s="16"/>
      <c r="X5" s="16"/>
      <c r="Y5" s="16"/>
      <c r="Z5" s="16"/>
      <c r="AA5" s="16"/>
      <c r="AB5" s="16"/>
      <c r="AC5" s="16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</row>
    <row r="6" spans="1:53" x14ac:dyDescent="0.25">
      <c r="A6" s="71"/>
      <c r="B6" s="72" t="s">
        <v>28</v>
      </c>
      <c r="C6" s="71"/>
      <c r="D6" s="128">
        <v>1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2"/>
      <c r="U6" s="2"/>
      <c r="V6" s="2"/>
      <c r="W6" s="2"/>
      <c r="X6" s="2"/>
      <c r="Y6" s="2"/>
      <c r="Z6" s="2"/>
      <c r="AA6" s="2"/>
      <c r="AB6" s="2"/>
      <c r="AC6" s="2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</row>
    <row r="7" spans="1:53" ht="18.75" customHeight="1" x14ac:dyDescent="0.25">
      <c r="A7" s="71"/>
      <c r="B7" s="72" t="s">
        <v>27</v>
      </c>
      <c r="C7" s="71"/>
      <c r="D7" s="69" t="s">
        <v>16</v>
      </c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73"/>
      <c r="S7" s="73"/>
      <c r="T7" s="2"/>
      <c r="U7" s="2"/>
      <c r="V7" s="2"/>
      <c r="W7" s="2"/>
      <c r="X7" s="2"/>
      <c r="Y7" s="2"/>
      <c r="Z7" s="2"/>
      <c r="AA7" s="2"/>
      <c r="AB7" s="2"/>
      <c r="AC7" s="2"/>
      <c r="AD7" s="49"/>
      <c r="AE7" s="49"/>
      <c r="AF7" s="49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</row>
    <row r="8" spans="1:53" ht="12" customHeight="1" x14ac:dyDescent="0.25">
      <c r="A8" s="71"/>
      <c r="B8" s="72"/>
      <c r="C8" s="71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73"/>
      <c r="S8" s="73"/>
      <c r="T8" s="132"/>
      <c r="U8" s="132"/>
      <c r="V8" s="132"/>
      <c r="W8" s="132"/>
      <c r="X8" s="132"/>
      <c r="Y8" s="132"/>
      <c r="Z8" s="132"/>
      <c r="AA8" s="132"/>
      <c r="AB8" s="132"/>
      <c r="AC8" s="2"/>
      <c r="AD8" s="49"/>
      <c r="AE8" s="49"/>
      <c r="AF8" s="49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</row>
    <row r="9" spans="1:53" x14ac:dyDescent="0.25">
      <c r="A9" s="68"/>
      <c r="B9" s="68"/>
      <c r="C9" s="68"/>
      <c r="D9" s="68"/>
      <c r="E9" s="68"/>
      <c r="F9" s="73"/>
      <c r="G9" s="73"/>
      <c r="H9" s="73"/>
      <c r="I9" s="68"/>
      <c r="J9" s="68"/>
      <c r="K9" s="68"/>
      <c r="L9" s="68"/>
      <c r="M9" s="68"/>
      <c r="N9" s="68"/>
      <c r="O9" s="68"/>
      <c r="P9" s="68"/>
      <c r="Q9" s="68"/>
      <c r="R9" s="73"/>
      <c r="S9" s="73"/>
      <c r="T9" s="132"/>
      <c r="U9" s="132"/>
      <c r="V9" s="132"/>
      <c r="W9" s="132"/>
      <c r="X9" s="132"/>
      <c r="Y9" s="132"/>
      <c r="Z9" s="132"/>
      <c r="AA9" s="132"/>
      <c r="AB9" s="132"/>
      <c r="AC9" s="2"/>
      <c r="AD9" s="49"/>
      <c r="AE9" s="49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</row>
    <row r="10" spans="1:53" x14ac:dyDescent="0.25">
      <c r="A10" s="68"/>
      <c r="B10" s="68"/>
      <c r="C10" s="68"/>
      <c r="D10" s="68"/>
      <c r="E10" s="68"/>
      <c r="F10" s="73"/>
      <c r="G10" s="73"/>
      <c r="H10" s="73"/>
      <c r="I10" s="68"/>
      <c r="J10" s="68"/>
      <c r="K10" s="68"/>
      <c r="L10" s="68"/>
      <c r="M10" s="68"/>
      <c r="N10" s="68"/>
      <c r="O10" s="68"/>
      <c r="P10" s="68"/>
      <c r="Q10" s="68"/>
      <c r="R10" s="73"/>
      <c r="S10" s="73"/>
      <c r="T10" s="132"/>
      <c r="U10" s="132"/>
      <c r="V10" s="132"/>
      <c r="W10" s="132"/>
      <c r="X10" s="132"/>
      <c r="Y10" s="132"/>
      <c r="Z10" s="132"/>
      <c r="AA10" s="132"/>
      <c r="AB10" s="132"/>
      <c r="AC10" s="2"/>
      <c r="AD10" s="49"/>
      <c r="AE10" s="49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</row>
    <row r="11" spans="1:53" x14ac:dyDescent="0.25">
      <c r="A11" s="68"/>
      <c r="B11" s="74" t="s">
        <v>24</v>
      </c>
      <c r="C11" s="68"/>
      <c r="D11" s="68"/>
      <c r="E11" s="68"/>
      <c r="F11" s="73"/>
      <c r="G11" s="73"/>
      <c r="H11" s="73"/>
      <c r="I11" s="68"/>
      <c r="J11" s="68"/>
      <c r="K11" s="68"/>
      <c r="L11" s="68"/>
      <c r="M11" s="68"/>
      <c r="N11" s="68"/>
      <c r="O11" s="68"/>
      <c r="P11" s="68"/>
      <c r="Q11" s="68"/>
      <c r="R11" s="73"/>
      <c r="S11" s="73"/>
      <c r="T11" s="132"/>
      <c r="U11" s="132"/>
      <c r="V11" s="132"/>
      <c r="W11" s="132"/>
      <c r="X11" s="132"/>
      <c r="Y11" s="132"/>
      <c r="Z11" s="132"/>
      <c r="AA11" s="132"/>
      <c r="AB11" s="132"/>
      <c r="AC11" s="2"/>
      <c r="AD11" s="49"/>
      <c r="AE11" s="49"/>
      <c r="AF11" s="131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</row>
    <row r="12" spans="1:53" ht="18" customHeight="1" x14ac:dyDescent="0.25">
      <c r="A12" s="68"/>
      <c r="B12" s="70">
        <v>1</v>
      </c>
      <c r="C12" s="68"/>
      <c r="D12" s="68"/>
      <c r="E12" s="68"/>
      <c r="F12" s="73"/>
      <c r="G12" s="73"/>
      <c r="H12" s="73"/>
      <c r="I12" s="68"/>
      <c r="J12" s="68"/>
      <c r="K12" s="68"/>
      <c r="L12" s="68"/>
      <c r="M12" s="68"/>
      <c r="N12" s="68"/>
      <c r="O12" s="68"/>
      <c r="P12" s="68"/>
      <c r="Q12" s="68"/>
      <c r="R12" s="73"/>
      <c r="S12" s="73"/>
      <c r="T12" s="132"/>
      <c r="U12" s="132"/>
      <c r="V12" s="132"/>
      <c r="W12" s="132"/>
      <c r="X12" s="132"/>
      <c r="Y12" s="132"/>
      <c r="Z12" s="132"/>
      <c r="AA12" s="132"/>
      <c r="AB12" s="132"/>
      <c r="AC12" s="2"/>
      <c r="AD12" s="49"/>
      <c r="AE12" s="49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</row>
    <row r="13" spans="1:53" ht="18" customHeight="1" x14ac:dyDescent="0.25">
      <c r="A13" s="68"/>
      <c r="B13" s="68"/>
      <c r="C13" s="68"/>
      <c r="D13" s="68"/>
      <c r="E13" s="68"/>
      <c r="F13" s="73"/>
      <c r="G13" s="73"/>
      <c r="H13" s="73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132"/>
      <c r="U13" s="132"/>
      <c r="V13" s="132"/>
      <c r="W13" s="132"/>
      <c r="X13" s="132"/>
      <c r="Y13" s="132"/>
      <c r="Z13" s="132"/>
      <c r="AA13" s="132"/>
      <c r="AB13" s="132"/>
      <c r="AC13" s="2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</row>
    <row r="14" spans="1:53" x14ac:dyDescent="0.25">
      <c r="A14" s="71" t="s">
        <v>23</v>
      </c>
      <c r="B14" s="71"/>
      <c r="C14" s="71"/>
      <c r="D14" s="68"/>
      <c r="E14" s="68"/>
      <c r="F14" s="73"/>
      <c r="G14" s="73"/>
      <c r="H14" s="73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132"/>
      <c r="U14" s="132"/>
      <c r="V14" s="132"/>
      <c r="W14" s="132"/>
      <c r="X14" s="132"/>
      <c r="Y14" s="132"/>
      <c r="Z14" s="132"/>
      <c r="AA14" s="132"/>
      <c r="AB14" s="132"/>
      <c r="AC14" s="2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</row>
    <row r="15" spans="1:53" x14ac:dyDescent="0.25">
      <c r="A15" s="71"/>
      <c r="B15" s="75" t="s">
        <v>25</v>
      </c>
      <c r="C15" s="71"/>
      <c r="D15" s="68"/>
      <c r="E15" s="68"/>
      <c r="F15" s="73"/>
      <c r="G15" s="73"/>
      <c r="H15" s="73"/>
      <c r="I15" s="68"/>
      <c r="J15" s="68"/>
      <c r="K15" s="68"/>
      <c r="L15" s="68"/>
      <c r="M15" s="68"/>
      <c r="N15" s="68"/>
      <c r="O15" s="68"/>
      <c r="P15" s="73"/>
      <c r="Q15" s="73"/>
      <c r="R15" s="68"/>
      <c r="S15" s="68"/>
      <c r="T15" s="132"/>
      <c r="U15" s="132"/>
      <c r="V15" s="132"/>
      <c r="W15" s="132"/>
      <c r="X15" s="132"/>
      <c r="Y15" s="132"/>
      <c r="Z15" s="132"/>
      <c r="AA15" s="132"/>
      <c r="AB15" s="132"/>
      <c r="AC15" s="2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</row>
    <row r="16" spans="1:53" x14ac:dyDescent="0.25">
      <c r="A16" s="71"/>
      <c r="B16" s="75" t="s">
        <v>26</v>
      </c>
      <c r="C16" s="71"/>
      <c r="D16" s="70">
        <v>1</v>
      </c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73"/>
      <c r="Q16" s="73"/>
      <c r="R16" s="68"/>
      <c r="S16" s="68"/>
      <c r="T16" s="132"/>
      <c r="U16" s="132" t="s">
        <v>106</v>
      </c>
      <c r="V16" s="132"/>
      <c r="W16" s="132">
        <f>MinGasPressure</f>
        <v>25</v>
      </c>
      <c r="X16" s="132" t="s">
        <v>9</v>
      </c>
      <c r="Y16" s="132"/>
      <c r="Z16" s="132"/>
      <c r="AA16" s="132"/>
      <c r="AB16" s="132"/>
      <c r="AC16" s="132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</row>
    <row r="17" spans="1:53" x14ac:dyDescent="0.25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73"/>
      <c r="Q17" s="73"/>
      <c r="R17" s="68"/>
      <c r="S17" s="68"/>
      <c r="T17" s="2"/>
      <c r="U17" s="132" t="s">
        <v>105</v>
      </c>
      <c r="V17" s="132"/>
      <c r="W17" s="132">
        <f>MaxGasPressure</f>
        <v>150</v>
      </c>
      <c r="X17" s="132" t="s">
        <v>9</v>
      </c>
      <c r="Y17" s="132"/>
      <c r="Z17" s="132"/>
      <c r="AA17" s="132"/>
      <c r="AB17" s="132"/>
      <c r="AC17" s="132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</row>
    <row r="18" spans="1:53" x14ac:dyDescent="0.25">
      <c r="A18" s="69" t="s">
        <v>14</v>
      </c>
      <c r="B18" s="70" t="str">
        <f>INDEX(B15:B16,D16)</f>
        <v>Power Unit (HCP)</v>
      </c>
      <c r="C18" s="69"/>
      <c r="D18" s="69"/>
      <c r="E18" s="68"/>
      <c r="F18" s="68"/>
      <c r="G18" s="68"/>
      <c r="H18" s="68"/>
      <c r="I18" s="68"/>
      <c r="J18" s="68"/>
      <c r="K18" s="68"/>
      <c r="L18" s="68"/>
      <c r="M18" s="74"/>
      <c r="N18" s="74"/>
      <c r="O18" s="74"/>
      <c r="P18" s="73"/>
      <c r="Q18" s="73"/>
      <c r="R18" s="68"/>
      <c r="S18" s="68"/>
      <c r="T18" s="2"/>
      <c r="U18" s="132" t="s">
        <v>108</v>
      </c>
      <c r="V18" s="132"/>
      <c r="W18" s="133">
        <f>MinStrokelength</f>
        <v>5</v>
      </c>
      <c r="X18" s="132" t="s">
        <v>7</v>
      </c>
      <c r="Y18" s="132"/>
      <c r="Z18" s="132"/>
      <c r="AA18" s="132"/>
      <c r="AB18" s="132"/>
      <c r="AC18" s="132"/>
      <c r="AD18" s="28"/>
      <c r="AE18" s="28"/>
      <c r="AF18" s="28"/>
      <c r="AG18" s="28"/>
      <c r="AH18" s="49"/>
      <c r="AI18" s="49"/>
      <c r="AJ18" s="49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</row>
    <row r="19" spans="1:53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74"/>
      <c r="N19" s="74"/>
      <c r="O19" s="74"/>
      <c r="P19" s="73"/>
      <c r="Q19" s="73"/>
      <c r="R19" s="68"/>
      <c r="S19" s="68"/>
      <c r="T19" s="2"/>
      <c r="U19" s="132" t="s">
        <v>107</v>
      </c>
      <c r="V19" s="132"/>
      <c r="W19" s="133">
        <f>MaxStrokeLength</f>
        <v>17</v>
      </c>
      <c r="X19" s="134" t="s">
        <v>7</v>
      </c>
      <c r="Y19" s="132"/>
      <c r="Z19" s="132"/>
      <c r="AA19" s="132"/>
      <c r="AB19" s="132"/>
      <c r="AC19" s="132"/>
      <c r="AD19" s="28"/>
      <c r="AE19" s="28"/>
      <c r="AF19" s="28"/>
      <c r="AG19" s="28"/>
      <c r="AH19" s="49"/>
      <c r="AI19" s="49"/>
      <c r="AJ19" s="49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</row>
    <row r="20" spans="1:53" x14ac:dyDescent="0.25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74"/>
      <c r="M20" s="74"/>
      <c r="N20" s="74"/>
      <c r="O20" s="74"/>
      <c r="P20" s="68"/>
      <c r="Q20" s="68"/>
      <c r="R20" s="68"/>
      <c r="S20" s="68"/>
      <c r="T20" s="2"/>
      <c r="U20" s="132"/>
      <c r="V20" s="132"/>
      <c r="W20" s="133"/>
      <c r="X20" s="132"/>
      <c r="Y20" s="135"/>
      <c r="Z20" s="132"/>
      <c r="AA20" s="132"/>
      <c r="AB20" s="132"/>
      <c r="AC20" s="132"/>
      <c r="AD20" s="49"/>
      <c r="AE20" s="28"/>
      <c r="AF20" s="28"/>
      <c r="AG20" s="28"/>
      <c r="AH20" s="49"/>
      <c r="AI20" s="49"/>
      <c r="AJ20" s="49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</row>
    <row r="21" spans="1:53" x14ac:dyDescent="0.25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2"/>
      <c r="U21" s="132" t="s">
        <v>110</v>
      </c>
      <c r="V21" s="132"/>
      <c r="W21" s="136">
        <v>150</v>
      </c>
      <c r="X21" s="132" t="s">
        <v>9</v>
      </c>
      <c r="Y21" s="132"/>
      <c r="Z21" s="132"/>
      <c r="AA21" s="132"/>
      <c r="AB21" s="132"/>
      <c r="AC21" s="132"/>
      <c r="AD21" s="28"/>
      <c r="AE21" s="28"/>
      <c r="AF21" s="28"/>
      <c r="AG21" s="28"/>
      <c r="AH21" s="49"/>
      <c r="AI21" s="49"/>
      <c r="AJ21" s="49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</row>
    <row r="22" spans="1:53" x14ac:dyDescent="0.25">
      <c r="A22" s="76" t="s">
        <v>795</v>
      </c>
      <c r="B22" s="76"/>
      <c r="C22" s="76"/>
      <c r="D22" s="76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2"/>
      <c r="U22" s="132"/>
      <c r="V22" s="132"/>
      <c r="W22" s="132"/>
      <c r="X22" s="132"/>
      <c r="Y22" s="132"/>
      <c r="Z22" s="132"/>
      <c r="AA22" s="132"/>
      <c r="AB22" s="132"/>
      <c r="AC22" s="132"/>
      <c r="AD22" s="28"/>
      <c r="AE22" s="28"/>
      <c r="AF22" s="28"/>
      <c r="AG22" s="28"/>
      <c r="AH22" s="49"/>
      <c r="AI22" s="49"/>
      <c r="AJ22" s="49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</row>
    <row r="23" spans="1:53" x14ac:dyDescent="0.25">
      <c r="A23" s="68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2"/>
      <c r="U23" s="2"/>
      <c r="V23" s="2"/>
      <c r="W23" s="2"/>
      <c r="X23" s="2"/>
      <c r="Y23" s="2"/>
      <c r="Z23" s="2"/>
      <c r="AA23" s="2"/>
      <c r="AB23" s="2"/>
      <c r="AC23" s="2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</row>
    <row r="24" spans="1:53" x14ac:dyDescent="0.25">
      <c r="A24" s="73"/>
      <c r="B24" s="73" t="s">
        <v>121</v>
      </c>
      <c r="C24" s="73"/>
      <c r="D24" s="68" t="s">
        <v>0</v>
      </c>
      <c r="E24" s="68" t="s">
        <v>101</v>
      </c>
      <c r="F24" s="68" t="s">
        <v>729</v>
      </c>
      <c r="G24" s="68" t="s">
        <v>1</v>
      </c>
      <c r="H24" s="68"/>
      <c r="I24" s="68" t="s">
        <v>102</v>
      </c>
      <c r="J24" s="68" t="s">
        <v>103</v>
      </c>
      <c r="K24" s="68" t="s">
        <v>104</v>
      </c>
      <c r="L24" s="68" t="s">
        <v>738</v>
      </c>
      <c r="M24" s="68" t="s">
        <v>742</v>
      </c>
      <c r="N24" s="68" t="s">
        <v>824</v>
      </c>
      <c r="O24" s="68" t="s">
        <v>3</v>
      </c>
      <c r="P24" s="68" t="s">
        <v>4</v>
      </c>
      <c r="Q24" s="68"/>
      <c r="R24" s="68"/>
      <c r="S24" s="68"/>
      <c r="T24" s="2"/>
      <c r="U24" s="2"/>
      <c r="V24" s="2"/>
      <c r="W24" s="44"/>
      <c r="X24" s="2"/>
      <c r="Y24" s="2"/>
      <c r="Z24" s="2"/>
      <c r="AA24" s="2"/>
      <c r="AB24" s="2"/>
      <c r="AC24" s="2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</row>
    <row r="25" spans="1:53" x14ac:dyDescent="0.25">
      <c r="A25" s="76" t="s">
        <v>28</v>
      </c>
      <c r="B25" s="76" t="s">
        <v>29</v>
      </c>
      <c r="C25" s="76">
        <v>1500</v>
      </c>
      <c r="D25" s="77">
        <v>10</v>
      </c>
      <c r="E25" s="68">
        <v>0.2</v>
      </c>
      <c r="F25" s="76">
        <v>36</v>
      </c>
      <c r="G25" s="76">
        <v>25</v>
      </c>
      <c r="H25" s="76">
        <v>150</v>
      </c>
      <c r="I25" s="76">
        <v>5</v>
      </c>
      <c r="J25" s="76">
        <v>17</v>
      </c>
      <c r="K25" s="76">
        <v>142</v>
      </c>
      <c r="L25" s="76">
        <v>15000</v>
      </c>
      <c r="M25" s="76">
        <v>22000</v>
      </c>
      <c r="N25" s="76">
        <v>80</v>
      </c>
      <c r="O25" s="76" t="s">
        <v>13</v>
      </c>
      <c r="P25" s="76" t="s">
        <v>37</v>
      </c>
      <c r="Q25" s="76"/>
      <c r="R25" s="76"/>
      <c r="S25" s="68"/>
      <c r="T25" s="2"/>
      <c r="U25" s="2"/>
      <c r="V25" s="2"/>
      <c r="W25" s="50"/>
      <c r="X25" s="2"/>
      <c r="Y25" s="2"/>
      <c r="Z25" s="2"/>
      <c r="AA25" s="2"/>
      <c r="AB25" s="2"/>
      <c r="AC25" s="2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</row>
    <row r="26" spans="1:53" x14ac:dyDescent="0.25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2"/>
      <c r="U26" s="2"/>
      <c r="V26" s="2"/>
      <c r="W26" s="2"/>
      <c r="X26" s="2"/>
      <c r="Y26" s="2"/>
      <c r="Z26" s="2"/>
      <c r="AA26" s="2"/>
      <c r="AB26" s="2"/>
      <c r="AC26" s="2"/>
      <c r="AD26" s="28"/>
      <c r="AE26" s="28"/>
      <c r="AF26" s="28"/>
      <c r="AG26" s="28"/>
      <c r="AH26" s="49"/>
      <c r="AI26" s="49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</row>
    <row r="27" spans="1:53" x14ac:dyDescent="0.25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2"/>
      <c r="U27" s="2"/>
      <c r="V27" s="2"/>
      <c r="W27" s="2"/>
      <c r="X27" s="2"/>
      <c r="Y27" s="2"/>
      <c r="Z27" s="2"/>
      <c r="AA27" s="2"/>
      <c r="AB27" s="2"/>
      <c r="AC27" s="2"/>
      <c r="AD27" s="28"/>
      <c r="AE27" s="28"/>
      <c r="AF27" s="28"/>
      <c r="AG27" s="28"/>
      <c r="AH27" s="49"/>
      <c r="AI27" s="49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</row>
    <row r="28" spans="1:53" x14ac:dyDescent="0.25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73"/>
      <c r="M28" s="73"/>
      <c r="N28" s="73"/>
      <c r="O28" s="73"/>
      <c r="P28" s="73"/>
      <c r="Q28" s="73"/>
      <c r="R28" s="73"/>
      <c r="S28" s="73"/>
      <c r="T28" s="2"/>
      <c r="U28" s="2"/>
      <c r="V28" s="2"/>
      <c r="W28" s="2"/>
      <c r="X28" s="2"/>
      <c r="Y28" s="2"/>
      <c r="Z28" s="2"/>
      <c r="AA28" s="2"/>
      <c r="AB28" s="2"/>
      <c r="AC28" s="2"/>
      <c r="AD28" s="28"/>
      <c r="AE28" s="28"/>
      <c r="AF28" s="28"/>
      <c r="AG28" s="28"/>
      <c r="AH28" s="49"/>
      <c r="AI28" s="49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</row>
    <row r="29" spans="1:53" x14ac:dyDescent="0.25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73"/>
      <c r="M29" s="73"/>
      <c r="N29" s="73"/>
      <c r="O29" s="73"/>
      <c r="P29" s="73"/>
      <c r="Q29" s="78"/>
      <c r="R29" s="73"/>
      <c r="S29" s="73"/>
      <c r="T29" s="2"/>
      <c r="U29" s="2"/>
      <c r="V29" s="2"/>
      <c r="W29" s="2"/>
      <c r="X29" s="2"/>
      <c r="Y29" s="2"/>
      <c r="Z29" s="2"/>
      <c r="AA29" s="2"/>
      <c r="AB29" s="2"/>
      <c r="AC29" s="2"/>
      <c r="AD29" s="28"/>
      <c r="AE29" s="28"/>
      <c r="AF29" s="28"/>
      <c r="AG29" s="28"/>
      <c r="AH29" s="49"/>
      <c r="AI29" s="49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</row>
    <row r="30" spans="1:53" x14ac:dyDescent="0.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73"/>
      <c r="M30" s="73"/>
      <c r="N30" s="73"/>
      <c r="O30" s="73"/>
      <c r="P30" s="73"/>
      <c r="Q30" s="73"/>
      <c r="R30" s="73"/>
      <c r="S30" s="73"/>
      <c r="T30" s="2"/>
      <c r="U30" s="2"/>
      <c r="V30" s="2"/>
      <c r="W30" s="2"/>
      <c r="X30" s="2"/>
      <c r="Y30" s="2"/>
      <c r="Z30" s="2"/>
      <c r="AA30" s="2"/>
      <c r="AB30" s="2"/>
      <c r="AC30" s="2"/>
      <c r="AD30" s="28"/>
      <c r="AE30" s="28"/>
      <c r="AF30" s="28"/>
      <c r="AG30" s="28"/>
      <c r="AH30" s="49"/>
      <c r="AI30" s="49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</row>
    <row r="31" spans="1:53" x14ac:dyDescent="0.25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73"/>
      <c r="M31" s="73"/>
      <c r="N31" s="73"/>
      <c r="O31" s="79"/>
      <c r="P31" s="73"/>
      <c r="Q31" s="73"/>
      <c r="R31" s="68"/>
      <c r="S31" s="73"/>
      <c r="T31" s="2"/>
      <c r="U31" s="2"/>
      <c r="V31" s="2"/>
      <c r="W31" s="2"/>
      <c r="X31" s="2"/>
      <c r="Y31" s="2"/>
      <c r="Z31" s="2"/>
      <c r="AA31" s="2"/>
      <c r="AB31" s="2"/>
      <c r="AC31" s="2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</row>
    <row r="32" spans="1:53" x14ac:dyDescent="0.25">
      <c r="A32" s="80"/>
      <c r="B32" s="80"/>
      <c r="C32" s="80"/>
      <c r="D32" s="80"/>
      <c r="E32" s="80"/>
      <c r="F32" s="80"/>
      <c r="G32" s="80"/>
      <c r="H32" s="68"/>
      <c r="I32" s="80"/>
      <c r="J32" s="80"/>
      <c r="K32" s="80"/>
      <c r="L32" s="81"/>
      <c r="M32" s="73"/>
      <c r="N32" s="81"/>
      <c r="O32" s="81"/>
      <c r="P32" s="73"/>
      <c r="Q32" s="73"/>
      <c r="R32" s="68"/>
      <c r="S32" s="73"/>
      <c r="T32" s="2"/>
      <c r="U32" s="2"/>
      <c r="V32" s="2"/>
      <c r="W32" s="2"/>
      <c r="X32" s="2"/>
      <c r="Y32" s="2"/>
      <c r="Z32" s="2"/>
      <c r="AA32" s="14"/>
      <c r="AB32" s="2"/>
      <c r="AC32" s="2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</row>
    <row r="33" spans="1:53" x14ac:dyDescent="0.25">
      <c r="A33" s="80"/>
      <c r="B33" s="80"/>
      <c r="C33" s="80"/>
      <c r="D33" s="80"/>
      <c r="E33" s="80"/>
      <c r="F33" s="80"/>
      <c r="G33" s="80"/>
      <c r="H33" s="68"/>
      <c r="I33" s="80"/>
      <c r="J33" s="80"/>
      <c r="K33" s="80"/>
      <c r="L33" s="81"/>
      <c r="M33" s="81"/>
      <c r="N33" s="81"/>
      <c r="O33" s="81"/>
      <c r="P33" s="73"/>
      <c r="Q33" s="73"/>
      <c r="R33" s="73"/>
      <c r="S33" s="73"/>
      <c r="T33" s="2"/>
      <c r="U33" s="2"/>
      <c r="V33" s="2"/>
      <c r="W33" s="2"/>
      <c r="X33" s="2"/>
      <c r="Y33" s="2"/>
      <c r="Z33" s="2"/>
      <c r="AA33" s="14"/>
      <c r="AB33" s="2"/>
      <c r="AC33" s="2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</row>
    <row r="34" spans="1:53" x14ac:dyDescent="0.25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73"/>
      <c r="M34" s="73"/>
      <c r="N34" s="73"/>
      <c r="O34" s="73"/>
      <c r="P34" s="73"/>
      <c r="Q34" s="73"/>
      <c r="R34" s="68"/>
      <c r="S34" s="73"/>
      <c r="T34" s="2"/>
      <c r="U34" s="2"/>
      <c r="V34" s="2"/>
      <c r="W34" s="2"/>
      <c r="X34" s="2"/>
      <c r="Y34" s="2"/>
      <c r="Z34" s="2"/>
      <c r="AA34" s="2"/>
      <c r="AB34" s="2"/>
      <c r="AC34" s="2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</row>
    <row r="35" spans="1:53" x14ac:dyDescent="0.25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73"/>
      <c r="M35" s="73"/>
      <c r="N35" s="73"/>
      <c r="O35" s="73"/>
      <c r="P35" s="73"/>
      <c r="Q35" s="73"/>
      <c r="R35" s="68"/>
      <c r="S35" s="73"/>
      <c r="T35" s="2"/>
      <c r="U35" s="2"/>
      <c r="V35" s="2"/>
      <c r="W35" s="2"/>
      <c r="X35" s="2"/>
      <c r="Y35" s="2"/>
      <c r="Z35" s="2"/>
      <c r="AA35" s="2"/>
      <c r="AB35" s="2"/>
      <c r="AC35" s="2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</row>
    <row r="36" spans="1:53" x14ac:dyDescent="0.25">
      <c r="A36" s="68"/>
      <c r="B36" s="68"/>
      <c r="C36" s="82"/>
      <c r="D36" s="68"/>
      <c r="E36" s="68"/>
      <c r="F36" s="68"/>
      <c r="G36" s="68"/>
      <c r="H36" s="68"/>
      <c r="I36" s="68"/>
      <c r="J36" s="68"/>
      <c r="K36" s="68"/>
      <c r="L36" s="73"/>
      <c r="M36" s="73"/>
      <c r="N36" s="73"/>
      <c r="O36" s="73"/>
      <c r="P36" s="73"/>
      <c r="Q36" s="73"/>
      <c r="R36" s="73"/>
      <c r="S36" s="73"/>
      <c r="T36" s="2"/>
      <c r="U36" s="2"/>
      <c r="V36" s="2"/>
      <c r="W36" s="2"/>
      <c r="X36" s="2"/>
      <c r="Y36" s="2"/>
      <c r="Z36" s="2"/>
      <c r="AA36" s="2"/>
      <c r="AB36" s="2"/>
      <c r="AC36" s="2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</row>
    <row r="37" spans="1:53" x14ac:dyDescent="0.25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2"/>
      <c r="U37" s="2"/>
      <c r="V37" s="2"/>
      <c r="W37" s="2"/>
      <c r="X37" s="2"/>
      <c r="Y37" s="2"/>
      <c r="Z37" s="2"/>
      <c r="AA37" s="2"/>
      <c r="AB37" s="2"/>
      <c r="AC37" s="2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</row>
    <row r="38" spans="1:53" x14ac:dyDescent="0.25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2"/>
      <c r="U38" s="2"/>
      <c r="V38" s="2"/>
      <c r="W38" s="2"/>
      <c r="X38" s="2"/>
      <c r="Y38" s="2"/>
      <c r="Z38" s="2"/>
      <c r="AA38" s="14"/>
      <c r="AB38" s="2"/>
      <c r="AC38" s="2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</row>
    <row r="39" spans="1:53" x14ac:dyDescent="0.25">
      <c r="A39" s="83"/>
      <c r="B39" s="81"/>
      <c r="C39" s="81"/>
      <c r="D39" s="81"/>
      <c r="E39" s="81"/>
      <c r="F39" s="81"/>
      <c r="G39" s="81"/>
      <c r="H39" s="73"/>
      <c r="I39" s="81"/>
      <c r="J39" s="81"/>
      <c r="K39" s="81"/>
      <c r="L39" s="81"/>
      <c r="M39" s="81"/>
      <c r="N39" s="81"/>
      <c r="O39" s="68"/>
      <c r="P39" s="68"/>
      <c r="Q39" s="68"/>
      <c r="R39" s="68"/>
      <c r="S39" s="68"/>
      <c r="T39" s="2"/>
      <c r="U39" s="2"/>
      <c r="V39" s="2"/>
      <c r="W39" s="2"/>
      <c r="X39" s="2"/>
      <c r="Y39" s="2"/>
      <c r="Z39" s="2"/>
      <c r="AA39" s="14"/>
      <c r="AB39" s="2"/>
      <c r="AC39" s="2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</row>
    <row r="40" spans="1:53" ht="20.25" x14ac:dyDescent="0.3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68"/>
      <c r="P40" s="68"/>
      <c r="Q40" s="68"/>
      <c r="R40" s="68"/>
      <c r="S40" s="68"/>
      <c r="T40" s="2"/>
      <c r="U40" s="17" t="s">
        <v>893</v>
      </c>
      <c r="V40" s="16"/>
      <c r="W40" s="16"/>
      <c r="X40" s="16"/>
      <c r="Y40" s="16"/>
      <c r="Z40" s="16"/>
      <c r="AA40" s="16"/>
      <c r="AB40" s="16"/>
      <c r="AC40" s="16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</row>
    <row r="41" spans="1:53" x14ac:dyDescent="0.25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2"/>
      <c r="U41" s="132"/>
      <c r="V41" s="132"/>
      <c r="W41" s="132"/>
      <c r="X41" s="132"/>
      <c r="Y41" s="132"/>
      <c r="Z41" s="132"/>
      <c r="AA41" s="132"/>
      <c r="AB41" s="132"/>
      <c r="AC41" s="132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</row>
    <row r="42" spans="1:53" x14ac:dyDescent="0.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2"/>
      <c r="U42" s="132" t="s">
        <v>111</v>
      </c>
      <c r="V42" s="132"/>
      <c r="W42" s="136">
        <v>10</v>
      </c>
      <c r="X42" s="132" t="s">
        <v>112</v>
      </c>
      <c r="Y42" s="132"/>
      <c r="Z42" s="132"/>
      <c r="AA42" s="132"/>
      <c r="AB42" s="132"/>
      <c r="AC42" s="132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</row>
    <row r="43" spans="1:53" x14ac:dyDescent="0.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153" t="s">
        <v>811</v>
      </c>
      <c r="N43" s="156">
        <v>1</v>
      </c>
      <c r="O43" s="153" t="s">
        <v>799</v>
      </c>
      <c r="P43" s="68"/>
      <c r="Q43" s="68"/>
      <c r="R43" s="68"/>
      <c r="S43" s="68"/>
      <c r="T43" s="2"/>
      <c r="U43" s="132" t="s">
        <v>944</v>
      </c>
      <c r="V43" s="132"/>
      <c r="W43" s="137">
        <v>24</v>
      </c>
      <c r="X43" s="132" t="s">
        <v>905</v>
      </c>
      <c r="Y43" s="132"/>
      <c r="Z43" s="132"/>
      <c r="AA43" s="132"/>
      <c r="AB43" s="132"/>
      <c r="AC43" s="132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</row>
    <row r="44" spans="1:53" x14ac:dyDescent="0.2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73"/>
      <c r="N44" s="73"/>
      <c r="O44" s="73"/>
      <c r="P44" s="68"/>
      <c r="Q44" s="68"/>
      <c r="R44" s="68"/>
      <c r="S44" s="68"/>
      <c r="T44" s="2"/>
      <c r="U44" s="132"/>
      <c r="V44" s="132"/>
      <c r="W44" s="132"/>
      <c r="X44" s="132"/>
      <c r="Y44" s="132"/>
      <c r="Z44" s="132"/>
      <c r="AA44" s="132"/>
      <c r="AB44" s="132"/>
      <c r="AC44" s="132"/>
      <c r="AD44" s="49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</row>
    <row r="45" spans="1:53" x14ac:dyDescent="0.25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73"/>
      <c r="N45" s="78"/>
      <c r="O45" s="73"/>
      <c r="P45" s="68"/>
      <c r="Q45" s="68"/>
      <c r="R45" s="68"/>
      <c r="S45" s="68"/>
      <c r="T45" s="2"/>
      <c r="U45" s="132" t="str">
        <f t="array" ref="U45:Y51">Heat_Data</f>
        <v>Heat Factor</v>
      </c>
      <c r="V45" s="132">
        <f ca="1"/>
        <v>50</v>
      </c>
      <c r="W45" s="132" t="str">
        <v>mm/min</v>
      </c>
      <c r="X45" s="132">
        <v>0</v>
      </c>
      <c r="Y45" s="132">
        <v>0</v>
      </c>
      <c r="Z45" s="132"/>
      <c r="AA45" s="132"/>
      <c r="AB45" s="132"/>
      <c r="AC45" s="132"/>
      <c r="AD45" s="49"/>
      <c r="AE45" s="49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</row>
    <row r="46" spans="1:53" x14ac:dyDescent="0.25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84"/>
      <c r="N46" s="78"/>
      <c r="O46" s="73"/>
      <c r="P46" s="68"/>
      <c r="Q46" s="68"/>
      <c r="R46" s="68"/>
      <c r="S46" s="68"/>
      <c r="T46" s="2"/>
      <c r="U46" s="132" t="str">
        <v>Total Power</v>
      </c>
      <c r="V46" s="138">
        <f ca="1"/>
        <v>1.8131836826524736E-2</v>
      </c>
      <c r="W46" s="132" t="str">
        <v>kW</v>
      </c>
      <c r="X46" s="132">
        <v>0</v>
      </c>
      <c r="Y46" s="132">
        <v>0</v>
      </c>
      <c r="Z46" s="132"/>
      <c r="AA46" s="132"/>
      <c r="AB46" s="132"/>
      <c r="AC46" s="132"/>
      <c r="AD46" s="49"/>
      <c r="AE46" s="49"/>
      <c r="AF46" s="49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</row>
    <row r="47" spans="1:53" x14ac:dyDescent="0.25">
      <c r="A47" s="68"/>
      <c r="B47" s="85"/>
      <c r="C47" s="85"/>
      <c r="D47" s="85"/>
      <c r="E47" s="85"/>
      <c r="F47" s="85"/>
      <c r="G47" s="85"/>
      <c r="H47" s="68"/>
      <c r="I47" s="85"/>
      <c r="J47" s="85"/>
      <c r="K47" s="68"/>
      <c r="L47" s="85"/>
      <c r="M47" s="85"/>
      <c r="N47" s="85"/>
      <c r="O47" s="85"/>
      <c r="P47" s="86"/>
      <c r="Q47" s="68"/>
      <c r="R47" s="68"/>
      <c r="S47" s="68"/>
      <c r="T47" s="2"/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9"/>
      <c r="AA47" s="132"/>
      <c r="AB47" s="132"/>
      <c r="AC47" s="132"/>
      <c r="AD47" s="49"/>
      <c r="AE47" s="49"/>
      <c r="AF47" s="49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</row>
    <row r="48" spans="1:53" x14ac:dyDescent="0.25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78"/>
      <c r="R48" s="73"/>
      <c r="S48" s="68"/>
      <c r="T48" s="2"/>
      <c r="U48" s="140">
        <v>0</v>
      </c>
      <c r="V48" s="141" t="str">
        <v>Max Heat Factor mm/min</v>
      </c>
      <c r="W48" s="141" t="str">
        <v>Max Power kW</v>
      </c>
      <c r="X48" s="141" t="str">
        <v>Utilisation</v>
      </c>
      <c r="Y48" s="142">
        <v>0</v>
      </c>
      <c r="Z48" s="143" t="str">
        <f>"Cooler Capacity for "&amp;User_Surrounding_Temperature&amp;"°C"</f>
        <v>Cooler Capacity for 24°C</v>
      </c>
      <c r="AA48" s="144"/>
      <c r="AB48" s="140"/>
      <c r="AC48" s="140"/>
      <c r="AD48" s="49"/>
      <c r="AE48" s="49"/>
      <c r="AF48" s="49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</row>
    <row r="49" spans="1:53" x14ac:dyDescent="0.25">
      <c r="A49" s="68"/>
      <c r="B49" s="68"/>
      <c r="C49" s="68"/>
      <c r="D49" s="68"/>
      <c r="E49" s="68"/>
      <c r="F49" s="68"/>
      <c r="G49" s="68"/>
      <c r="H49" s="68" t="s">
        <v>733</v>
      </c>
      <c r="I49" s="68" t="s">
        <v>109</v>
      </c>
      <c r="J49" s="68"/>
      <c r="K49" s="68"/>
      <c r="L49" s="68"/>
      <c r="M49" s="87">
        <v>1</v>
      </c>
      <c r="N49" s="68"/>
      <c r="O49" s="88" t="s">
        <v>889</v>
      </c>
      <c r="P49" s="88"/>
      <c r="Q49" s="89"/>
      <c r="R49" s="73"/>
      <c r="S49" s="68"/>
      <c r="T49" s="2"/>
      <c r="U49" s="140" t="str">
        <v>No cooling</v>
      </c>
      <c r="V49" s="145">
        <f ca="1"/>
        <v>421.37549999999999</v>
      </c>
      <c r="W49" s="146">
        <f ca="1"/>
        <v>0.15280623617390549</v>
      </c>
      <c r="X49" s="147">
        <f ca="1"/>
        <v>0.11865901078729067</v>
      </c>
      <c r="Y49" s="148" t="str">
        <f ca="1"/>
        <v>OK</v>
      </c>
      <c r="Z49" s="149" t="s">
        <v>921</v>
      </c>
      <c r="AA49" s="144"/>
      <c r="AB49" s="150">
        <f>Liquid_Cooler_10kW_Capacity</f>
        <v>10</v>
      </c>
      <c r="AC49" s="140" t="s">
        <v>794</v>
      </c>
      <c r="AD49" s="49"/>
      <c r="AE49" s="49"/>
      <c r="AF49" s="49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</row>
    <row r="50" spans="1:53" x14ac:dyDescent="0.25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 t="s">
        <v>732</v>
      </c>
      <c r="N50" s="68"/>
      <c r="O50" s="68"/>
      <c r="P50" s="68" t="s">
        <v>887</v>
      </c>
      <c r="Q50" s="78" t="s">
        <v>888</v>
      </c>
      <c r="R50" s="73"/>
      <c r="S50" s="68"/>
      <c r="T50" s="2"/>
      <c r="U50" s="140" t="str">
        <v>Liquid cooling</v>
      </c>
      <c r="V50" s="145">
        <v>2000</v>
      </c>
      <c r="W50" s="146">
        <f ca="1"/>
        <v>0.72527347306098944</v>
      </c>
      <c r="X50" s="147">
        <f ca="1"/>
        <v>2.5000000000000001E-2</v>
      </c>
      <c r="Y50" s="148" t="str">
        <f ca="1"/>
        <v>OK</v>
      </c>
      <c r="Z50" s="149" t="s">
        <v>922</v>
      </c>
      <c r="AA50" s="144"/>
      <c r="AB50" s="150">
        <f>Liquid_Cooler_25kW_Capacity</f>
        <v>25</v>
      </c>
      <c r="AC50" s="140" t="s">
        <v>794</v>
      </c>
      <c r="AD50" s="49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</row>
    <row r="51" spans="1:53" x14ac:dyDescent="0.25">
      <c r="A51" s="73"/>
      <c r="B51" s="73"/>
      <c r="C51" s="73"/>
      <c r="D51" s="68"/>
      <c r="E51" s="68"/>
      <c r="F51" s="68"/>
      <c r="G51" s="68"/>
      <c r="H51" s="90">
        <v>10</v>
      </c>
      <c r="I51" s="68">
        <f>MinStrokelength</f>
        <v>5</v>
      </c>
      <c r="J51" s="68">
        <f>MATCH(MinStrokelength,I51:I68)</f>
        <v>1</v>
      </c>
      <c r="K51" s="71">
        <v>1</v>
      </c>
      <c r="L51" s="68"/>
      <c r="M51" s="68">
        <v>1</v>
      </c>
      <c r="N51" s="68"/>
      <c r="O51" s="125" t="str">
        <f ca="1">Heat_Factor!T43</f>
        <v>No cooling</v>
      </c>
      <c r="P51" s="68">
        <f ca="1">SUM(Heat_Factor!I16:I18)</f>
        <v>3</v>
      </c>
      <c r="Q51" s="78">
        <f ca="1">IF(Cooling_Ant=0,1,Cooling_Ant)</f>
        <v>3</v>
      </c>
      <c r="R51" s="73"/>
      <c r="S51" s="68"/>
      <c r="T51" s="2"/>
      <c r="U51" s="140" t="str">
        <v>Nitro Cooler</v>
      </c>
      <c r="V51" s="145">
        <v>3200</v>
      </c>
      <c r="W51" s="146">
        <f ca="1"/>
        <v>1.1604375568975831</v>
      </c>
      <c r="X51" s="147">
        <f ca="1"/>
        <v>1.5625E-2</v>
      </c>
      <c r="Y51" s="148" t="str">
        <f ca="1"/>
        <v>OK</v>
      </c>
      <c r="Z51" s="149" t="s">
        <v>124</v>
      </c>
      <c r="AA51" s="144"/>
      <c r="AB51" s="151">
        <f>Nitro_Cooler_Capacity</f>
        <v>1.5</v>
      </c>
      <c r="AC51" s="140" t="s">
        <v>794</v>
      </c>
      <c r="AD51" s="49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</row>
    <row r="52" spans="1:53" x14ac:dyDescent="0.25">
      <c r="A52" s="68"/>
      <c r="B52" s="68"/>
      <c r="C52" s="68"/>
      <c r="D52" s="68"/>
      <c r="E52" s="68"/>
      <c r="F52" s="68"/>
      <c r="G52" s="68"/>
      <c r="H52" s="90">
        <v>20</v>
      </c>
      <c r="I52" s="68">
        <f>I51+1</f>
        <v>6</v>
      </c>
      <c r="J52" s="68">
        <f>MATCH(MaxStrokeLength,I51:I68)</f>
        <v>13</v>
      </c>
      <c r="K52" s="68"/>
      <c r="L52" s="68"/>
      <c r="M52" s="68">
        <v>2</v>
      </c>
      <c r="N52" s="68"/>
      <c r="O52" s="126" t="str">
        <f ca="1">Heat_Factor!T44</f>
        <v>Liquid cooling</v>
      </c>
      <c r="P52" s="68"/>
      <c r="Q52" s="78"/>
      <c r="R52" s="73"/>
      <c r="S52" s="68"/>
      <c r="T52" s="2"/>
      <c r="U52" s="132"/>
      <c r="V52" s="132"/>
      <c r="W52" s="132"/>
      <c r="X52" s="132"/>
      <c r="Y52" s="132"/>
      <c r="Z52" s="139"/>
      <c r="AA52" s="132"/>
      <c r="AB52" s="132"/>
      <c r="AC52" s="140"/>
      <c r="AD52" s="49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</row>
    <row r="53" spans="1:53" x14ac:dyDescent="0.25">
      <c r="A53" s="68"/>
      <c r="B53" s="68"/>
      <c r="C53" s="68"/>
      <c r="D53" s="68"/>
      <c r="E53" s="68"/>
      <c r="F53" s="68"/>
      <c r="G53" s="68"/>
      <c r="H53" s="90">
        <v>30</v>
      </c>
      <c r="I53" s="68">
        <f t="shared" ref="I53:I68" si="0">I52+1</f>
        <v>7</v>
      </c>
      <c r="J53" s="68"/>
      <c r="K53" s="68"/>
      <c r="L53" s="68"/>
      <c r="M53" s="68">
        <v>3</v>
      </c>
      <c r="N53" s="68"/>
      <c r="O53" s="127" t="str">
        <f ca="1">Heat_Factor!T45</f>
        <v>Nitro Cooler</v>
      </c>
      <c r="P53" s="68"/>
      <c r="Q53" s="73"/>
      <c r="R53" s="73"/>
      <c r="S53" s="68"/>
      <c r="T53" s="2"/>
      <c r="U53" s="132" t="s">
        <v>845</v>
      </c>
      <c r="V53" s="138">
        <f ca="1">IF(V46-W49&lt;0,0,ROUND(V46-W49,2))</f>
        <v>0</v>
      </c>
      <c r="W53" s="132" t="s">
        <v>794</v>
      </c>
      <c r="X53" s="132"/>
      <c r="Y53" s="152"/>
      <c r="Z53" s="132"/>
      <c r="AA53" s="132"/>
      <c r="AB53" s="132"/>
      <c r="AC53" s="132"/>
      <c r="AD53" s="49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</row>
    <row r="54" spans="1:53" x14ac:dyDescent="0.25">
      <c r="A54" s="68"/>
      <c r="B54" s="68"/>
      <c r="C54" s="68"/>
      <c r="D54" s="68"/>
      <c r="E54" s="68"/>
      <c r="F54" s="68"/>
      <c r="G54" s="68"/>
      <c r="H54" s="90">
        <v>40</v>
      </c>
      <c r="I54" s="68">
        <f t="shared" si="0"/>
        <v>8</v>
      </c>
      <c r="J54" s="68"/>
      <c r="K54" s="68"/>
      <c r="L54" s="68"/>
      <c r="M54" s="68">
        <v>4</v>
      </c>
      <c r="N54" s="68"/>
      <c r="O54" s="68"/>
      <c r="P54" s="68"/>
      <c r="Q54" s="68"/>
      <c r="R54" s="68"/>
      <c r="S54" s="68"/>
      <c r="T54" s="2"/>
      <c r="U54" s="132" t="s">
        <v>849</v>
      </c>
      <c r="V54" s="138">
        <f ca="1">V53/User_Number_of_Springs</f>
        <v>0</v>
      </c>
      <c r="W54" s="132" t="s">
        <v>794</v>
      </c>
      <c r="X54" s="132"/>
      <c r="Y54" s="132"/>
      <c r="Z54" s="132"/>
      <c r="AA54" s="132"/>
      <c r="AB54" s="132"/>
      <c r="AC54" s="132"/>
      <c r="AD54" s="49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</row>
    <row r="55" spans="1:53" x14ac:dyDescent="0.25">
      <c r="A55" s="68"/>
      <c r="B55" s="68"/>
      <c r="C55" s="68"/>
      <c r="D55" s="68"/>
      <c r="E55" s="68"/>
      <c r="F55" s="68"/>
      <c r="G55" s="68"/>
      <c r="H55" s="90">
        <v>50</v>
      </c>
      <c r="I55" s="68">
        <f t="shared" si="0"/>
        <v>9</v>
      </c>
      <c r="J55" s="68"/>
      <c r="K55" s="68">
        <f ca="1">COUNT(Used_Stroke_List)</f>
        <v>13</v>
      </c>
      <c r="L55" s="68"/>
      <c r="M55" s="68">
        <v>5</v>
      </c>
      <c r="N55" s="68"/>
      <c r="O55" s="68"/>
      <c r="P55" s="68"/>
      <c r="Q55" s="68"/>
      <c r="R55" s="68"/>
      <c r="S55" s="68"/>
      <c r="T55" s="2"/>
      <c r="U55" s="132"/>
      <c r="V55" s="132"/>
      <c r="W55" s="132"/>
      <c r="X55" s="132"/>
      <c r="Y55" s="132"/>
      <c r="Z55" s="140"/>
      <c r="AA55" s="140"/>
      <c r="AB55" s="140"/>
      <c r="AC55" s="140"/>
      <c r="AD55" s="49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</row>
    <row r="56" spans="1:53" x14ac:dyDescent="0.25">
      <c r="A56" s="68"/>
      <c r="B56" s="68"/>
      <c r="C56" s="68"/>
      <c r="D56" s="68"/>
      <c r="E56" s="68"/>
      <c r="F56" s="68"/>
      <c r="G56" s="68"/>
      <c r="H56" s="90">
        <v>60</v>
      </c>
      <c r="I56" s="68">
        <f t="shared" si="0"/>
        <v>10</v>
      </c>
      <c r="J56" s="68"/>
      <c r="K56" s="68">
        <f ca="1">IF(K51&gt;K55,K55,K51)</f>
        <v>1</v>
      </c>
      <c r="L56" s="68"/>
      <c r="M56" s="68">
        <v>6</v>
      </c>
      <c r="N56" s="68"/>
      <c r="O56" s="68"/>
      <c r="P56" s="68"/>
      <c r="Q56" s="68"/>
      <c r="R56" s="68"/>
      <c r="S56" s="68"/>
      <c r="T56" s="2"/>
      <c r="U56" s="132"/>
      <c r="V56" s="132"/>
      <c r="W56" s="132"/>
      <c r="X56" s="132"/>
      <c r="Y56" s="132"/>
      <c r="Z56" s="140"/>
      <c r="AA56" s="140"/>
      <c r="AB56" s="140"/>
      <c r="AC56" s="132"/>
      <c r="AD56" s="49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</row>
    <row r="57" spans="1:53" x14ac:dyDescent="0.25">
      <c r="A57" s="68"/>
      <c r="B57" s="68"/>
      <c r="C57" s="68"/>
      <c r="D57" s="68"/>
      <c r="E57" s="68"/>
      <c r="F57" s="68"/>
      <c r="G57" s="68"/>
      <c r="H57" s="90">
        <v>70</v>
      </c>
      <c r="I57" s="68">
        <f t="shared" si="0"/>
        <v>11</v>
      </c>
      <c r="J57" s="68"/>
      <c r="K57" s="68" t="s">
        <v>734</v>
      </c>
      <c r="L57" s="68"/>
      <c r="M57" s="68">
        <v>7</v>
      </c>
      <c r="N57" s="68"/>
      <c r="O57" s="68"/>
      <c r="P57" s="68"/>
      <c r="Q57" s="68"/>
      <c r="R57" s="68"/>
      <c r="S57" s="68"/>
      <c r="T57" s="2"/>
      <c r="U57" s="132" t="s">
        <v>895</v>
      </c>
      <c r="V57" s="132"/>
      <c r="W57" s="132"/>
      <c r="X57" s="2"/>
      <c r="Y57" s="2"/>
      <c r="Z57" s="11"/>
      <c r="AA57" s="9"/>
      <c r="AB57" s="9"/>
      <c r="AC57" s="9"/>
      <c r="AD57" s="49"/>
      <c r="AE57" s="28"/>
      <c r="AF57" s="28"/>
      <c r="AG57" s="49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</row>
    <row r="58" spans="1:53" x14ac:dyDescent="0.25">
      <c r="A58" s="68"/>
      <c r="B58" s="68"/>
      <c r="C58" s="68"/>
      <c r="D58" s="68"/>
      <c r="E58" s="68"/>
      <c r="F58" s="68"/>
      <c r="G58" s="68"/>
      <c r="H58" s="90">
        <v>80</v>
      </c>
      <c r="I58" s="68">
        <f t="shared" si="0"/>
        <v>12</v>
      </c>
      <c r="J58" s="68"/>
      <c r="K58" s="68">
        <f ca="1">INDEX(Used_Stroke_List,K56)</f>
        <v>5</v>
      </c>
      <c r="L58" s="68"/>
      <c r="M58" s="68">
        <v>8</v>
      </c>
      <c r="N58" s="68"/>
      <c r="O58" s="68"/>
      <c r="P58" s="68"/>
      <c r="Q58" s="68"/>
      <c r="R58" s="68"/>
      <c r="S58" s="68"/>
      <c r="T58" s="2"/>
      <c r="U58" s="132"/>
      <c r="V58" s="135" t="str">
        <f ca="1">Cooler_Message</f>
        <v/>
      </c>
      <c r="W58" s="132"/>
      <c r="X58" s="2"/>
      <c r="Y58" s="2"/>
      <c r="Z58" s="11"/>
      <c r="AA58" s="9"/>
      <c r="AB58" s="9"/>
      <c r="AC58" s="9"/>
      <c r="AD58" s="28"/>
      <c r="AE58" s="49"/>
      <c r="AF58" s="49"/>
      <c r="AG58" s="49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</row>
    <row r="59" spans="1:53" x14ac:dyDescent="0.25">
      <c r="A59" s="68"/>
      <c r="B59" s="68"/>
      <c r="C59" s="68"/>
      <c r="D59" s="68"/>
      <c r="E59" s="68"/>
      <c r="F59" s="68"/>
      <c r="G59" s="68"/>
      <c r="H59" s="90">
        <v>90</v>
      </c>
      <c r="I59" s="68">
        <f t="shared" si="0"/>
        <v>13</v>
      </c>
      <c r="J59" s="68"/>
      <c r="K59" s="68">
        <f ca="1">User_Used_Stroke_Length-Stroke</f>
        <v>-5</v>
      </c>
      <c r="L59" s="68"/>
      <c r="M59" s="68">
        <v>9</v>
      </c>
      <c r="N59" s="68"/>
      <c r="O59" s="68"/>
      <c r="P59" s="68"/>
      <c r="Q59" s="68"/>
      <c r="R59" s="68"/>
      <c r="S59" s="68"/>
      <c r="T59" s="2"/>
      <c r="U59" s="132"/>
      <c r="V59" s="132"/>
      <c r="W59" s="132"/>
      <c r="X59" s="2"/>
      <c r="Y59" s="2"/>
      <c r="Z59" s="2"/>
      <c r="AA59" s="2"/>
      <c r="AB59" s="2"/>
      <c r="AC59" s="2"/>
      <c r="AD59" s="49"/>
      <c r="AE59" s="49"/>
      <c r="AF59" s="49"/>
      <c r="AG59" s="49"/>
      <c r="AH59" s="28"/>
      <c r="AI59" s="28"/>
      <c r="AJ59" s="28"/>
      <c r="AK59" s="28"/>
      <c r="AL59" s="28"/>
      <c r="AM59" s="28"/>
      <c r="AN59" s="28"/>
      <c r="AO59" s="28"/>
      <c r="AP59" s="28"/>
      <c r="AQ59" s="51"/>
      <c r="AR59" s="28"/>
      <c r="AS59" s="28"/>
      <c r="AT59" s="28"/>
      <c r="AU59" s="28"/>
      <c r="AV59" s="28"/>
      <c r="AW59" s="28"/>
      <c r="AX59" s="28"/>
      <c r="AY59" s="28"/>
      <c r="AZ59" s="28"/>
      <c r="BA59" s="28"/>
    </row>
    <row r="60" spans="1:53" x14ac:dyDescent="0.25">
      <c r="A60" s="68"/>
      <c r="B60" s="68"/>
      <c r="C60" s="68"/>
      <c r="D60" s="68"/>
      <c r="E60" s="68"/>
      <c r="F60" s="68"/>
      <c r="G60" s="68"/>
      <c r="H60" s="90">
        <v>100</v>
      </c>
      <c r="I60" s="68">
        <f t="shared" si="0"/>
        <v>14</v>
      </c>
      <c r="J60" s="68"/>
      <c r="K60" s="68"/>
      <c r="L60" s="68"/>
      <c r="M60" s="68">
        <v>10</v>
      </c>
      <c r="N60" s="68"/>
      <c r="O60" s="68"/>
      <c r="P60" s="68"/>
      <c r="Q60" s="68"/>
      <c r="R60" s="68"/>
      <c r="S60" s="68"/>
      <c r="T60" s="2"/>
      <c r="U60" s="132"/>
      <c r="V60" s="132"/>
      <c r="W60" s="132"/>
      <c r="X60" s="2"/>
      <c r="Y60" s="2"/>
      <c r="Z60" s="2"/>
      <c r="AA60" s="2"/>
      <c r="AB60" s="2"/>
      <c r="AC60" s="2"/>
      <c r="AD60" s="28"/>
      <c r="AE60" s="49"/>
      <c r="AF60" s="49"/>
      <c r="AG60" s="49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</row>
    <row r="61" spans="1:53" x14ac:dyDescent="0.25">
      <c r="A61" s="68"/>
      <c r="B61" s="68"/>
      <c r="C61" s="68"/>
      <c r="D61" s="68"/>
      <c r="E61" s="68"/>
      <c r="F61" s="68"/>
      <c r="G61" s="68"/>
      <c r="H61" s="90">
        <v>110</v>
      </c>
      <c r="I61" s="68">
        <f t="shared" si="0"/>
        <v>15</v>
      </c>
      <c r="J61" s="68"/>
      <c r="K61" s="68"/>
      <c r="L61" s="68"/>
      <c r="M61" s="68">
        <v>11</v>
      </c>
      <c r="N61" s="68"/>
      <c r="O61" s="73"/>
      <c r="P61" s="68"/>
      <c r="Q61" s="68"/>
      <c r="R61" s="68"/>
      <c r="S61" s="68"/>
      <c r="T61" s="2"/>
      <c r="U61" s="132"/>
      <c r="V61" s="132"/>
      <c r="W61" s="132"/>
      <c r="X61" s="2"/>
      <c r="Y61" s="2"/>
      <c r="Z61" s="47"/>
      <c r="AA61" s="2"/>
      <c r="AB61" s="2"/>
      <c r="AC61" s="2"/>
      <c r="AD61" s="49"/>
      <c r="AE61" s="49"/>
      <c r="AF61" s="49"/>
      <c r="AG61" s="49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</row>
    <row r="62" spans="1:53" ht="15.75" customHeight="1" x14ac:dyDescent="0.25">
      <c r="A62" s="68"/>
      <c r="B62" s="68"/>
      <c r="C62" s="68"/>
      <c r="D62" s="68"/>
      <c r="E62" s="68"/>
      <c r="F62" s="68"/>
      <c r="G62" s="68"/>
      <c r="H62" s="90">
        <v>120</v>
      </c>
      <c r="I62" s="68">
        <f t="shared" si="0"/>
        <v>16</v>
      </c>
      <c r="J62" s="68"/>
      <c r="K62" s="68"/>
      <c r="L62" s="68"/>
      <c r="M62" s="68">
        <v>12</v>
      </c>
      <c r="N62" s="68"/>
      <c r="O62" s="68"/>
      <c r="P62" s="68"/>
      <c r="Q62" s="68"/>
      <c r="R62" s="68"/>
      <c r="S62" s="68"/>
      <c r="T62" s="2"/>
      <c r="U62" s="135" t="s">
        <v>846</v>
      </c>
      <c r="V62" s="132"/>
      <c r="W62" s="132"/>
      <c r="X62" s="2"/>
      <c r="Y62" s="9"/>
      <c r="Z62" s="11"/>
      <c r="AA62" s="2"/>
      <c r="AB62" s="2"/>
      <c r="AC62" s="2"/>
      <c r="AD62" s="49"/>
      <c r="AE62" s="49"/>
      <c r="AF62" s="49"/>
      <c r="AG62" s="49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</row>
    <row r="63" spans="1:53" x14ac:dyDescent="0.25">
      <c r="A63" s="68"/>
      <c r="B63" s="68"/>
      <c r="C63" s="68"/>
      <c r="D63" s="68"/>
      <c r="E63" s="68"/>
      <c r="F63" s="68"/>
      <c r="G63" s="68"/>
      <c r="H63" s="90">
        <v>130</v>
      </c>
      <c r="I63" s="68">
        <f t="shared" si="0"/>
        <v>17</v>
      </c>
      <c r="J63" s="68"/>
      <c r="K63" s="68"/>
      <c r="L63" s="68"/>
      <c r="M63" s="68">
        <v>13</v>
      </c>
      <c r="N63" s="68"/>
      <c r="O63" s="68"/>
      <c r="P63" s="68"/>
      <c r="Q63" s="68"/>
      <c r="R63" s="68"/>
      <c r="S63" s="68"/>
      <c r="T63" s="2"/>
      <c r="U63" s="132" t="s">
        <v>924</v>
      </c>
      <c r="V63" s="132"/>
      <c r="W63" s="132"/>
      <c r="X63" s="2"/>
      <c r="Y63" s="9"/>
      <c r="Z63" s="2"/>
      <c r="AA63" s="2"/>
      <c r="AB63" s="2"/>
      <c r="AC63" s="2"/>
      <c r="AD63" s="49"/>
      <c r="AE63" s="49"/>
      <c r="AF63" s="49"/>
      <c r="AG63" s="49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</row>
    <row r="64" spans="1:53" x14ac:dyDescent="0.25">
      <c r="A64" s="68"/>
      <c r="B64" s="68"/>
      <c r="C64" s="68"/>
      <c r="D64" s="68"/>
      <c r="E64" s="68"/>
      <c r="F64" s="68"/>
      <c r="G64" s="68"/>
      <c r="H64" s="90">
        <v>140</v>
      </c>
      <c r="I64" s="68">
        <f t="shared" si="0"/>
        <v>18</v>
      </c>
      <c r="J64" s="68"/>
      <c r="K64" s="68"/>
      <c r="L64" s="68"/>
      <c r="M64" s="68">
        <v>14</v>
      </c>
      <c r="N64" s="68"/>
      <c r="O64" s="68"/>
      <c r="P64" s="68"/>
      <c r="Q64" s="68"/>
      <c r="R64" s="68"/>
      <c r="S64" s="68"/>
      <c r="T64" s="2"/>
      <c r="U64" s="132" t="s">
        <v>923</v>
      </c>
      <c r="V64" s="132"/>
      <c r="W64" s="138"/>
      <c r="X64" s="2"/>
      <c r="Y64" s="11"/>
      <c r="Z64" s="2"/>
      <c r="AA64" s="2"/>
      <c r="AB64" s="2"/>
      <c r="AC64" s="2"/>
      <c r="AD64" s="49"/>
      <c r="AE64" s="49"/>
      <c r="AF64" s="49"/>
      <c r="AG64" s="49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</row>
    <row r="65" spans="1:53" x14ac:dyDescent="0.25">
      <c r="A65" s="68"/>
      <c r="B65" s="68"/>
      <c r="C65" s="68"/>
      <c r="D65" s="68"/>
      <c r="E65" s="68"/>
      <c r="F65" s="68"/>
      <c r="G65" s="68"/>
      <c r="H65" s="90">
        <v>150</v>
      </c>
      <c r="I65" s="68">
        <f t="shared" si="0"/>
        <v>19</v>
      </c>
      <c r="J65" s="68"/>
      <c r="K65" s="91" t="e">
        <f>Cooling_Needed/User_Number_of_Springs</f>
        <v>#NAME?</v>
      </c>
      <c r="L65" s="68"/>
      <c r="M65" s="68">
        <v>15</v>
      </c>
      <c r="N65" s="68"/>
      <c r="O65" s="68"/>
      <c r="P65" s="68"/>
      <c r="Q65" s="68"/>
      <c r="R65" s="68"/>
      <c r="S65" s="68"/>
      <c r="T65" s="2"/>
      <c r="U65" s="132" t="s">
        <v>847</v>
      </c>
      <c r="V65" s="153"/>
      <c r="W65" s="132"/>
      <c r="X65" s="11"/>
      <c r="Y65" s="11"/>
      <c r="Z65" s="2"/>
      <c r="AA65" s="2"/>
      <c r="AB65" s="2"/>
      <c r="AC65" s="2"/>
      <c r="AD65" s="49"/>
      <c r="AE65" s="49"/>
      <c r="AF65" s="49"/>
      <c r="AG65" s="49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</row>
    <row r="66" spans="1:53" s="1" customFormat="1" x14ac:dyDescent="0.25">
      <c r="A66" s="73"/>
      <c r="B66" s="73"/>
      <c r="C66" s="73"/>
      <c r="D66" s="73"/>
      <c r="E66" s="73"/>
      <c r="F66" s="73"/>
      <c r="G66" s="73"/>
      <c r="H66" s="92">
        <v>160</v>
      </c>
      <c r="I66" s="73">
        <f>I65+1</f>
        <v>20</v>
      </c>
      <c r="J66" s="73"/>
      <c r="K66" s="73"/>
      <c r="L66" s="73"/>
      <c r="M66" s="68">
        <v>16</v>
      </c>
      <c r="N66" s="73"/>
      <c r="O66" s="73"/>
      <c r="P66" s="73"/>
      <c r="Q66" s="73" t="s">
        <v>101</v>
      </c>
      <c r="R66" s="73"/>
      <c r="S66" s="73"/>
      <c r="T66" s="2"/>
      <c r="U66" s="153" t="s">
        <v>848</v>
      </c>
      <c r="V66" s="132"/>
      <c r="W66" s="132"/>
      <c r="X66" s="2"/>
      <c r="Y66" s="11"/>
      <c r="Z66" s="2"/>
      <c r="AA66" s="2"/>
      <c r="AB66" s="2"/>
      <c r="AC66" s="2"/>
      <c r="AD66" s="28"/>
      <c r="AE66" s="28"/>
      <c r="AF66" s="28"/>
      <c r="AG66" s="49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</row>
    <row r="67" spans="1:53" s="1" customFormat="1" x14ac:dyDescent="0.25">
      <c r="A67" s="73"/>
      <c r="B67" s="73"/>
      <c r="C67" s="73"/>
      <c r="D67" s="73"/>
      <c r="E67" s="73"/>
      <c r="F67" s="73"/>
      <c r="G67" s="73"/>
      <c r="H67" s="93"/>
      <c r="I67" s="73">
        <f t="shared" si="0"/>
        <v>21</v>
      </c>
      <c r="J67" s="73"/>
      <c r="K67" s="73"/>
      <c r="L67" s="73"/>
      <c r="M67" s="73"/>
      <c r="N67" s="73"/>
      <c r="O67" s="73"/>
      <c r="P67" s="73"/>
      <c r="Q67" s="73">
        <f ca="1">IF(Cooler="-NC",E25*0.55,E25)</f>
        <v>0.2</v>
      </c>
      <c r="R67" s="73"/>
      <c r="S67" s="73"/>
      <c r="T67" s="2"/>
      <c r="U67" s="132"/>
      <c r="V67" s="132"/>
      <c r="W67" s="132"/>
      <c r="X67" s="2"/>
      <c r="Y67" s="2"/>
      <c r="Z67" s="2"/>
      <c r="AA67" s="2"/>
      <c r="AB67" s="2"/>
      <c r="AC67" s="2"/>
      <c r="AD67" s="28"/>
      <c r="AE67" s="28"/>
      <c r="AF67" s="28"/>
      <c r="AG67" s="49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</row>
    <row r="68" spans="1:53" s="1" customFormat="1" x14ac:dyDescent="0.25">
      <c r="A68" s="73"/>
      <c r="B68" s="73"/>
      <c r="C68" s="73"/>
      <c r="D68" s="73"/>
      <c r="E68" s="73"/>
      <c r="F68" s="73"/>
      <c r="G68" s="73"/>
      <c r="H68" s="93"/>
      <c r="I68" s="73">
        <f t="shared" si="0"/>
        <v>22</v>
      </c>
      <c r="J68" s="73"/>
      <c r="K68" s="73" t="s">
        <v>878</v>
      </c>
      <c r="L68" s="73"/>
      <c r="M68" s="73"/>
      <c r="N68" s="73"/>
      <c r="O68" s="73"/>
      <c r="P68" s="73"/>
      <c r="Q68" s="73"/>
      <c r="R68" s="73"/>
      <c r="S68" s="73"/>
      <c r="T68" s="2"/>
      <c r="U68" s="154" t="s">
        <v>926</v>
      </c>
      <c r="V68" s="154"/>
      <c r="W68" s="155"/>
      <c r="X68" s="67"/>
      <c r="Y68" s="2"/>
      <c r="Z68" s="2"/>
      <c r="AA68" s="2"/>
      <c r="AB68" s="2"/>
      <c r="AC68" s="2"/>
      <c r="AD68" s="28"/>
      <c r="AE68" s="28"/>
      <c r="AF68" s="28"/>
      <c r="AG68" s="49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</row>
    <row r="69" spans="1:53" s="1" customFormat="1" x14ac:dyDescent="0.25">
      <c r="A69" s="73"/>
      <c r="B69" s="73"/>
      <c r="C69" s="73"/>
      <c r="D69" s="73"/>
      <c r="E69" s="73"/>
      <c r="F69" s="73"/>
      <c r="G69" s="73"/>
      <c r="H69" s="93"/>
      <c r="I69" s="73"/>
      <c r="J69" s="73"/>
      <c r="K69" s="94">
        <f ca="1">User_Used_Stroke_Length</f>
        <v>5</v>
      </c>
      <c r="L69" s="73"/>
      <c r="M69" s="73"/>
      <c r="N69" s="73"/>
      <c r="O69" s="73"/>
      <c r="P69" s="73"/>
      <c r="Q69" s="73"/>
      <c r="R69" s="73"/>
      <c r="S69" s="73"/>
      <c r="T69" s="2"/>
      <c r="U69" s="154" t="s">
        <v>925</v>
      </c>
      <c r="V69" s="154"/>
      <c r="W69" s="155"/>
      <c r="X69" s="67"/>
      <c r="Y69" s="2"/>
      <c r="Z69" s="2"/>
      <c r="AA69" s="2"/>
      <c r="AB69" s="2"/>
      <c r="AC69" s="2"/>
      <c r="AD69" s="28"/>
      <c r="AE69" s="28"/>
      <c r="AF69" s="28"/>
      <c r="AG69" s="49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</row>
    <row r="70" spans="1:53" s="1" customFormat="1" x14ac:dyDescent="0.25">
      <c r="A70" s="73"/>
      <c r="B70" s="73"/>
      <c r="C70" s="73"/>
      <c r="D70" s="73"/>
      <c r="E70" s="73"/>
      <c r="F70" s="73"/>
      <c r="G70" s="73"/>
      <c r="H70" s="93"/>
      <c r="I70" s="73"/>
      <c r="J70" s="73"/>
      <c r="K70" s="94">
        <f ca="1">IF(A25="Adjustable",K69,"")</f>
        <v>5</v>
      </c>
      <c r="L70" s="73"/>
      <c r="M70" s="73"/>
      <c r="N70" s="73"/>
      <c r="O70" s="73"/>
      <c r="P70" s="73"/>
      <c r="Q70" s="73"/>
      <c r="R70" s="73"/>
      <c r="S70" s="73"/>
      <c r="T70" s="2"/>
      <c r="U70" s="154"/>
      <c r="V70" s="154"/>
      <c r="W70" s="155"/>
      <c r="X70" s="67"/>
      <c r="Y70" s="2"/>
      <c r="Z70" s="2"/>
      <c r="AA70" s="2"/>
      <c r="AB70" s="2"/>
      <c r="AC70" s="2"/>
      <c r="AD70" s="28"/>
      <c r="AE70" s="28"/>
      <c r="AF70" s="28"/>
      <c r="AG70" s="49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</row>
    <row r="71" spans="1:53" s="1" customFormat="1" x14ac:dyDescent="0.25">
      <c r="A71" s="73"/>
      <c r="B71" s="73"/>
      <c r="C71" s="73"/>
      <c r="D71" s="73"/>
      <c r="E71" s="73"/>
      <c r="F71" s="73"/>
      <c r="G71" s="73"/>
      <c r="H71" s="93"/>
      <c r="I71" s="73"/>
      <c r="J71" s="73"/>
      <c r="K71" s="73" t="str">
        <f ca="1">TEXT(K70,"000")</f>
        <v>005</v>
      </c>
      <c r="L71" s="73"/>
      <c r="M71" s="73"/>
      <c r="N71" s="73"/>
      <c r="O71" s="73"/>
      <c r="P71" s="73"/>
      <c r="Q71" s="73"/>
      <c r="R71" s="73"/>
      <c r="S71" s="73"/>
      <c r="T71" s="2"/>
      <c r="U71" s="132"/>
      <c r="V71" s="132"/>
      <c r="W71" s="132"/>
      <c r="X71" s="2"/>
      <c r="Y71" s="2"/>
      <c r="Z71" s="2"/>
      <c r="AA71" s="2"/>
      <c r="AB71" s="2"/>
      <c r="AC71" s="2"/>
      <c r="AD71" s="28"/>
      <c r="AE71" s="28"/>
      <c r="AF71" s="28"/>
      <c r="AG71" s="49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</row>
    <row r="72" spans="1:53" s="1" customFormat="1" x14ac:dyDescent="0.25">
      <c r="A72" s="73"/>
      <c r="B72" s="73"/>
      <c r="C72" s="73"/>
      <c r="D72" s="73"/>
      <c r="E72" s="73"/>
      <c r="F72" s="73"/>
      <c r="G72" s="73"/>
      <c r="H72" s="93"/>
      <c r="I72" s="73"/>
      <c r="J72" s="73"/>
      <c r="K72" s="73" t="str">
        <f>IF(A25="Adjustable","-","")</f>
        <v>-</v>
      </c>
      <c r="L72" s="73"/>
      <c r="M72" s="73"/>
      <c r="N72" s="73"/>
      <c r="O72" s="73"/>
      <c r="P72" s="73"/>
      <c r="Q72" s="73"/>
      <c r="R72" s="73"/>
      <c r="S72" s="73"/>
      <c r="T72" s="2"/>
      <c r="U72" s="132"/>
      <c r="V72" s="132"/>
      <c r="W72" s="132"/>
      <c r="X72" s="2"/>
      <c r="Y72" s="2"/>
      <c r="Z72" s="2"/>
      <c r="AA72" s="2"/>
      <c r="AB72" s="2"/>
      <c r="AC72" s="2"/>
      <c r="AD72" s="28"/>
      <c r="AE72" s="28"/>
      <c r="AF72" s="28"/>
      <c r="AG72" s="49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</row>
    <row r="73" spans="1:53" s="1" customFormat="1" ht="20.25" x14ac:dyDescent="0.3">
      <c r="A73" s="73"/>
      <c r="B73" s="73"/>
      <c r="C73" s="73"/>
      <c r="D73" s="73"/>
      <c r="E73" s="73"/>
      <c r="F73" s="73"/>
      <c r="G73" s="73"/>
      <c r="H73" s="9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2"/>
      <c r="U73" s="17" t="s">
        <v>943</v>
      </c>
      <c r="V73" s="16"/>
      <c r="W73" s="16"/>
      <c r="X73" s="16"/>
      <c r="Y73" s="16"/>
      <c r="Z73" s="16"/>
      <c r="AA73" s="16"/>
      <c r="AB73" s="16"/>
      <c r="AC73" s="16"/>
      <c r="AD73" s="28"/>
      <c r="AE73" s="28"/>
      <c r="AF73" s="28"/>
      <c r="AG73" s="49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</row>
    <row r="74" spans="1:53" s="1" customFormat="1" x14ac:dyDescent="0.25">
      <c r="A74" s="73"/>
      <c r="B74" s="73"/>
      <c r="C74" s="73"/>
      <c r="D74" s="73"/>
      <c r="E74" s="73"/>
      <c r="F74" s="73"/>
      <c r="G74" s="73"/>
      <c r="H74" s="9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2"/>
      <c r="U74" s="132"/>
      <c r="V74" s="132"/>
      <c r="W74" s="132"/>
      <c r="X74" s="2"/>
      <c r="Y74" s="2"/>
      <c r="Z74" s="2"/>
      <c r="AA74" s="14"/>
      <c r="AB74" s="2"/>
      <c r="AC74" s="2"/>
      <c r="AD74" s="28"/>
      <c r="AE74" s="28"/>
      <c r="AF74" s="28"/>
      <c r="AG74" s="49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</row>
    <row r="75" spans="1:53" s="1" customFormat="1" x14ac:dyDescent="0.25">
      <c r="A75" s="73"/>
      <c r="B75" s="73"/>
      <c r="C75" s="73"/>
      <c r="D75" s="73"/>
      <c r="E75" s="73"/>
      <c r="F75" s="73"/>
      <c r="G75" s="73"/>
      <c r="H75" s="9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2"/>
      <c r="U75" s="134" t="s">
        <v>796</v>
      </c>
      <c r="V75" s="132">
        <f>60/User_Strokes_per_Minute</f>
        <v>6</v>
      </c>
      <c r="W75" s="132" t="s">
        <v>799</v>
      </c>
      <c r="X75" s="2"/>
      <c r="Y75" s="11"/>
      <c r="Z75" s="11"/>
      <c r="AA75" s="2"/>
      <c r="AB75" s="2"/>
      <c r="AC75" s="2"/>
      <c r="AD75" s="28"/>
      <c r="AE75" s="28"/>
      <c r="AF75" s="28"/>
      <c r="AG75" s="49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</row>
    <row r="76" spans="1:53" s="1" customFormat="1" x14ac:dyDescent="0.25">
      <c r="A76" s="73"/>
      <c r="B76" s="73"/>
      <c r="C76" s="73"/>
      <c r="D76" s="73"/>
      <c r="E76" s="73"/>
      <c r="F76" s="73"/>
      <c r="G76" s="73"/>
      <c r="H76" s="9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2"/>
      <c r="U76" s="132" t="s">
        <v>797</v>
      </c>
      <c r="V76" s="138">
        <f ca="1">User_Used_Stroke_Length/(Return_Speed*1000)</f>
        <v>2.5000000000000001E-2</v>
      </c>
      <c r="W76" s="132" t="s">
        <v>799</v>
      </c>
      <c r="X76" s="2"/>
      <c r="Y76" s="11"/>
      <c r="Z76" s="11"/>
      <c r="AA76" s="2"/>
      <c r="AB76" s="2"/>
      <c r="AC76" s="2"/>
      <c r="AD76" s="28"/>
      <c r="AE76" s="28"/>
      <c r="AF76" s="28"/>
      <c r="AG76" s="49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</row>
    <row r="77" spans="1:53" s="1" customFormat="1" x14ac:dyDescent="0.25">
      <c r="A77" s="73"/>
      <c r="B77" s="73"/>
      <c r="C77" s="73"/>
      <c r="D77" s="73"/>
      <c r="E77" s="73"/>
      <c r="F77" s="73"/>
      <c r="G77" s="73"/>
      <c r="H77" s="9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2"/>
      <c r="U77" s="132" t="s">
        <v>101</v>
      </c>
      <c r="V77" s="138">
        <f ca="1">Return_Speed</f>
        <v>0.2</v>
      </c>
      <c r="W77" s="132" t="s">
        <v>5</v>
      </c>
      <c r="X77" s="2"/>
      <c r="Y77" s="11"/>
      <c r="Z77" s="11"/>
      <c r="AA77" s="2"/>
      <c r="AB77" s="2"/>
      <c r="AC77" s="2"/>
      <c r="AD77" s="28"/>
      <c r="AE77" s="28"/>
      <c r="AF77" s="28"/>
      <c r="AG77" s="49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</row>
    <row r="78" spans="1:53" s="1" customFormat="1" x14ac:dyDescent="0.25">
      <c r="A78" s="73"/>
      <c r="B78" s="73"/>
      <c r="C78" s="73"/>
      <c r="D78" s="73"/>
      <c r="E78" s="73"/>
      <c r="F78" s="73"/>
      <c r="G78" s="73"/>
      <c r="H78" s="9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2"/>
      <c r="U78" s="2"/>
      <c r="V78" s="2"/>
      <c r="W78" s="2"/>
      <c r="X78" s="2"/>
      <c r="Y78" s="11"/>
      <c r="Z78" s="11"/>
      <c r="AA78" s="2"/>
      <c r="AB78" s="2"/>
      <c r="AC78" s="2"/>
      <c r="AD78" s="28"/>
      <c r="AE78" s="49"/>
      <c r="AF78" s="49"/>
      <c r="AG78" s="49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</row>
    <row r="79" spans="1:53" s="1" customFormat="1" x14ac:dyDescent="0.25">
      <c r="A79" s="73"/>
      <c r="B79" s="73"/>
      <c r="C79" s="73"/>
      <c r="D79" s="73"/>
      <c r="E79" s="73"/>
      <c r="F79" s="73"/>
      <c r="G79" s="73"/>
      <c r="H79" s="9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2"/>
      <c r="U79" s="2"/>
      <c r="V79" s="2"/>
      <c r="W79" s="2"/>
      <c r="X79" s="2"/>
      <c r="Y79" s="11"/>
      <c r="Z79" s="11"/>
      <c r="AA79" s="2"/>
      <c r="AB79" s="2"/>
      <c r="AC79" s="2"/>
      <c r="AD79" s="49"/>
      <c r="AE79" s="49"/>
      <c r="AF79" s="49"/>
      <c r="AG79" s="49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</row>
    <row r="80" spans="1:53" s="1" customFormat="1" ht="20.25" x14ac:dyDescent="0.3">
      <c r="A80" s="73"/>
      <c r="B80" s="73"/>
      <c r="C80" s="73"/>
      <c r="D80" s="73"/>
      <c r="E80" s="73"/>
      <c r="F80" s="73"/>
      <c r="G80" s="73"/>
      <c r="H80" s="9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2"/>
      <c r="U80" s="17" t="s">
        <v>875</v>
      </c>
      <c r="V80" s="16"/>
      <c r="W80" s="16"/>
      <c r="X80" s="16"/>
      <c r="Y80" s="64"/>
      <c r="Z80" s="64"/>
      <c r="AA80" s="16"/>
      <c r="AB80" s="16"/>
      <c r="AC80" s="16"/>
      <c r="AD80" s="49"/>
      <c r="AE80" s="49"/>
      <c r="AF80" s="49"/>
      <c r="AG80" s="49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</row>
    <row r="81" spans="1:53" s="1" customFormat="1" x14ac:dyDescent="0.25">
      <c r="A81" s="73"/>
      <c r="B81" s="73"/>
      <c r="C81" s="73"/>
      <c r="D81" s="73"/>
      <c r="E81" s="73"/>
      <c r="F81" s="73"/>
      <c r="G81" s="73"/>
      <c r="H81" s="95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2"/>
      <c r="U81" s="132"/>
      <c r="V81" s="132"/>
      <c r="W81" s="132"/>
      <c r="X81" s="132"/>
      <c r="Y81" s="153"/>
      <c r="Z81" s="153"/>
      <c r="AA81" s="132"/>
      <c r="AB81" s="132"/>
      <c r="AC81" s="132"/>
      <c r="AD81" s="49"/>
      <c r="AE81" s="49"/>
      <c r="AF81" s="49"/>
      <c r="AG81" s="49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</row>
    <row r="82" spans="1:53" s="1" customFormat="1" x14ac:dyDescent="0.25">
      <c r="A82" s="73"/>
      <c r="B82" s="73"/>
      <c r="C82" s="73"/>
      <c r="D82" s="73"/>
      <c r="E82" s="73"/>
      <c r="F82" s="73"/>
      <c r="G82" s="73"/>
      <c r="H82" s="95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2"/>
      <c r="U82" s="132" t="s">
        <v>927</v>
      </c>
      <c r="V82" s="132" t="s">
        <v>877</v>
      </c>
      <c r="W82" s="132"/>
      <c r="X82" s="132" t="s">
        <v>881</v>
      </c>
      <c r="Y82" s="153"/>
      <c r="Z82" s="153"/>
      <c r="AA82" s="132"/>
      <c r="AB82" s="132"/>
      <c r="AC82" s="132"/>
      <c r="AD82" s="49"/>
      <c r="AE82" s="49"/>
      <c r="AF82" s="49"/>
      <c r="AG82" s="49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</row>
    <row r="83" spans="1:53" s="1" customFormat="1" x14ac:dyDescent="0.25">
      <c r="A83" s="73"/>
      <c r="B83" s="73"/>
      <c r="C83" s="73"/>
      <c r="D83" s="73"/>
      <c r="E83" s="73"/>
      <c r="F83" s="73"/>
      <c r="G83" s="73"/>
      <c r="H83" s="9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2"/>
      <c r="U83" s="132" t="str">
        <f>ModelSize</f>
        <v>KF2-A 1500</v>
      </c>
      <c r="V83" s="134" t="str">
        <f ca="1">Description&amp;K72&amp;K71&amp;Heat_Factor!S21</f>
        <v xml:space="preserve">KF2-A 1500-010-005 </v>
      </c>
      <c r="W83" s="132"/>
      <c r="X83" s="134">
        <f>User_Number_of_Springs</f>
        <v>1</v>
      </c>
      <c r="Y83" s="153"/>
      <c r="Z83" s="153"/>
      <c r="AA83" s="132"/>
      <c r="AB83" s="132"/>
      <c r="AC83" s="132"/>
      <c r="AD83" s="49"/>
      <c r="AE83" s="49"/>
      <c r="AF83" s="49"/>
      <c r="AG83" s="49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</row>
    <row r="84" spans="1:53" s="1" customFormat="1" x14ac:dyDescent="0.25">
      <c r="A84" s="73"/>
      <c r="B84" s="73"/>
      <c r="C84" s="73"/>
      <c r="D84" s="73"/>
      <c r="E84" s="73"/>
      <c r="F84" s="73"/>
      <c r="G84" s="73"/>
      <c r="H84" s="9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2"/>
      <c r="U84" s="132"/>
      <c r="V84" s="132"/>
      <c r="W84" s="132"/>
      <c r="X84" s="132"/>
      <c r="Y84" s="153"/>
      <c r="Z84" s="153"/>
      <c r="AA84" s="132"/>
      <c r="AB84" s="132"/>
      <c r="AC84" s="132"/>
      <c r="AD84" s="49"/>
      <c r="AE84" s="49"/>
      <c r="AF84" s="49"/>
      <c r="AG84" s="49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</row>
    <row r="85" spans="1:53" s="1" customFormat="1" x14ac:dyDescent="0.25">
      <c r="A85" s="73"/>
      <c r="B85" s="73"/>
      <c r="C85" s="73"/>
      <c r="D85" s="73"/>
      <c r="E85" s="73"/>
      <c r="F85" s="73"/>
      <c r="G85" s="73"/>
      <c r="H85" s="93"/>
      <c r="I85" s="73"/>
      <c r="J85" s="73"/>
      <c r="K85" s="73"/>
      <c r="L85" s="73"/>
      <c r="M85" s="73"/>
      <c r="N85" s="73"/>
      <c r="O85" s="73"/>
      <c r="P85" s="73"/>
      <c r="Q85" s="96"/>
      <c r="R85" s="73"/>
      <c r="S85" s="73"/>
      <c r="T85" s="2"/>
      <c r="U85" s="132" t="s">
        <v>876</v>
      </c>
      <c r="V85" s="132" t="s">
        <v>877</v>
      </c>
      <c r="W85" s="132"/>
      <c r="X85" s="132" t="s">
        <v>881</v>
      </c>
      <c r="Y85" s="153"/>
      <c r="Z85" s="153"/>
      <c r="AA85" s="132"/>
      <c r="AB85" s="132"/>
      <c r="AC85" s="132"/>
      <c r="AD85" s="49"/>
      <c r="AE85" s="49"/>
      <c r="AF85" s="49"/>
      <c r="AG85" s="49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</row>
    <row r="86" spans="1:53" x14ac:dyDescent="0.25">
      <c r="A86" s="68"/>
      <c r="B86" s="68"/>
      <c r="C86" s="68"/>
      <c r="D86" s="68"/>
      <c r="E86" s="68"/>
      <c r="F86" s="68"/>
      <c r="G86" s="68"/>
      <c r="H86" s="97"/>
      <c r="I86" s="68"/>
      <c r="J86" s="68"/>
      <c r="K86" s="68"/>
      <c r="L86" s="68"/>
      <c r="M86" s="68"/>
      <c r="N86" s="68"/>
      <c r="O86" s="73"/>
      <c r="P86" s="73"/>
      <c r="Q86" s="84"/>
      <c r="R86" s="73"/>
      <c r="S86" s="73"/>
      <c r="T86" s="2"/>
      <c r="U86" s="132" t="str">
        <f ca="1">Cooler_Selection</f>
        <v>No Cooler</v>
      </c>
      <c r="V86" s="134" t="str">
        <f ca="1">Cooler_OrderNo</f>
        <v/>
      </c>
      <c r="W86" s="132"/>
      <c r="X86" s="134" t="str">
        <f ca="1">Cooler_Quantity</f>
        <v/>
      </c>
      <c r="Y86" s="153"/>
      <c r="Z86" s="153"/>
      <c r="AA86" s="132"/>
      <c r="AB86" s="132"/>
      <c r="AC86" s="132"/>
      <c r="AD86" s="49"/>
      <c r="AE86" s="49"/>
      <c r="AF86" s="49"/>
      <c r="AG86" s="49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</row>
    <row r="87" spans="1:53" x14ac:dyDescent="0.25">
      <c r="A87" s="68"/>
      <c r="B87" s="68"/>
      <c r="C87" s="68"/>
      <c r="D87" s="68"/>
      <c r="E87" s="68"/>
      <c r="F87" s="68"/>
      <c r="G87" s="68"/>
      <c r="H87" s="97"/>
      <c r="I87" s="68"/>
      <c r="J87" s="68"/>
      <c r="K87" s="68"/>
      <c r="L87" s="68"/>
      <c r="M87" s="68"/>
      <c r="N87" s="68"/>
      <c r="O87" s="73"/>
      <c r="P87" s="73"/>
      <c r="Q87" s="84"/>
      <c r="R87" s="73"/>
      <c r="S87" s="73"/>
      <c r="T87" s="2"/>
      <c r="U87" s="132"/>
      <c r="V87" s="132"/>
      <c r="W87" s="132"/>
      <c r="X87" s="132"/>
      <c r="Y87" s="153"/>
      <c r="Z87" s="153"/>
      <c r="AA87" s="132"/>
      <c r="AB87" s="132"/>
      <c r="AC87" s="132"/>
      <c r="AD87" s="49"/>
      <c r="AE87" s="49"/>
      <c r="AF87" s="49"/>
      <c r="AG87" s="49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</row>
    <row r="88" spans="1:53" x14ac:dyDescent="0.25">
      <c r="A88" s="68"/>
      <c r="B88" s="68"/>
      <c r="C88" s="68"/>
      <c r="D88" s="68"/>
      <c r="E88" s="68"/>
      <c r="F88" s="68"/>
      <c r="G88" s="68"/>
      <c r="H88" s="97"/>
      <c r="I88" s="68"/>
      <c r="J88" s="68"/>
      <c r="K88" s="68"/>
      <c r="L88" s="68"/>
      <c r="M88" s="68"/>
      <c r="N88" s="68"/>
      <c r="O88" s="73"/>
      <c r="P88" s="73"/>
      <c r="Q88" s="73"/>
      <c r="R88" s="73"/>
      <c r="S88" s="73"/>
      <c r="T88" s="2"/>
      <c r="U88" s="132"/>
      <c r="V88" s="132"/>
      <c r="W88" s="132"/>
      <c r="X88" s="132"/>
      <c r="Y88" s="153"/>
      <c r="Z88" s="153"/>
      <c r="AA88" s="132"/>
      <c r="AB88" s="132"/>
      <c r="AC88" s="132"/>
      <c r="AD88" s="49"/>
      <c r="AE88" s="49"/>
      <c r="AF88" s="49"/>
      <c r="AG88" s="49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</row>
    <row r="89" spans="1:53" x14ac:dyDescent="0.25">
      <c r="A89" s="68"/>
      <c r="B89" s="68"/>
      <c r="C89" s="68"/>
      <c r="D89" s="68"/>
      <c r="E89" s="68"/>
      <c r="F89" s="68"/>
      <c r="G89" s="68"/>
      <c r="H89" s="97"/>
      <c r="I89" s="68"/>
      <c r="J89" s="68"/>
      <c r="K89" s="68"/>
      <c r="L89" s="68"/>
      <c r="M89" s="68"/>
      <c r="N89" s="68"/>
      <c r="O89" s="73"/>
      <c r="P89" s="73"/>
      <c r="Q89" s="73"/>
      <c r="R89" s="73"/>
      <c r="S89" s="73"/>
      <c r="T89" s="2"/>
      <c r="U89" s="6" t="s">
        <v>10</v>
      </c>
      <c r="V89" s="2"/>
      <c r="W89" s="2"/>
      <c r="X89" s="2"/>
      <c r="Y89" s="2"/>
      <c r="Z89" s="2"/>
      <c r="AA89" s="2"/>
      <c r="AB89" s="2"/>
      <c r="AC89" s="2"/>
      <c r="AD89" s="49"/>
      <c r="AE89" s="49"/>
      <c r="AF89" s="49"/>
      <c r="AG89" s="49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</row>
    <row r="90" spans="1:53" x14ac:dyDescent="0.25">
      <c r="A90" s="68"/>
      <c r="B90" s="68"/>
      <c r="C90" s="68"/>
      <c r="D90" s="68"/>
      <c r="E90" s="68"/>
      <c r="F90" s="68"/>
      <c r="G90" s="68"/>
      <c r="H90" s="97"/>
      <c r="I90" s="68"/>
      <c r="J90" s="68"/>
      <c r="K90" s="68"/>
      <c r="L90" s="68"/>
      <c r="M90" s="68"/>
      <c r="N90" s="68"/>
      <c r="O90" s="73"/>
      <c r="P90" s="73"/>
      <c r="Q90" s="73"/>
      <c r="R90" s="73"/>
      <c r="S90" s="73"/>
      <c r="T90" s="2"/>
      <c r="U90" s="2"/>
      <c r="V90" s="2"/>
      <c r="W90" s="2"/>
      <c r="X90" s="2"/>
      <c r="Y90" s="2"/>
      <c r="Z90" s="2"/>
      <c r="AA90" s="2"/>
      <c r="AB90" s="2"/>
      <c r="AC90" s="2"/>
      <c r="AD90" s="49"/>
      <c r="AE90" s="49"/>
      <c r="AF90" s="49"/>
      <c r="AG90" s="49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</row>
    <row r="91" spans="1:53" x14ac:dyDescent="0.25">
      <c r="A91" s="68"/>
      <c r="B91" s="68"/>
      <c r="C91" s="68"/>
      <c r="D91" s="68"/>
      <c r="E91" s="68"/>
      <c r="F91" s="68"/>
      <c r="G91" s="68"/>
      <c r="H91" s="97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2"/>
      <c r="U91" s="2"/>
      <c r="V91" s="2"/>
      <c r="W91" s="2"/>
      <c r="X91" s="2"/>
      <c r="Y91" s="2"/>
      <c r="Z91" s="2"/>
      <c r="AA91" s="2"/>
      <c r="AB91" s="2"/>
      <c r="AC91" s="2"/>
      <c r="AD91" s="49"/>
      <c r="AE91" s="49"/>
      <c r="AF91" s="49"/>
      <c r="AG91" s="49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</row>
    <row r="92" spans="1:53" x14ac:dyDescent="0.25">
      <c r="A92" s="68"/>
      <c r="B92" s="68"/>
      <c r="C92" s="68"/>
      <c r="D92" s="68"/>
      <c r="E92" s="68"/>
      <c r="F92" s="68"/>
      <c r="G92" s="68"/>
      <c r="H92" s="97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2"/>
      <c r="U92" s="2"/>
      <c r="V92" s="2"/>
      <c r="W92" s="2"/>
      <c r="X92" s="2"/>
      <c r="Y92" s="2"/>
      <c r="Z92" s="2"/>
      <c r="AA92" s="2"/>
      <c r="AB92" s="2"/>
      <c r="AC92" s="2"/>
      <c r="AD92" s="49"/>
      <c r="AE92" s="49"/>
      <c r="AF92" s="49"/>
      <c r="AG92" s="49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</row>
    <row r="93" spans="1:53" x14ac:dyDescent="0.25">
      <c r="A93" s="68"/>
      <c r="B93" s="68"/>
      <c r="C93" s="68"/>
      <c r="D93" s="68"/>
      <c r="E93" s="68"/>
      <c r="F93" s="68"/>
      <c r="G93" s="68"/>
      <c r="H93" s="97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2"/>
      <c r="U93" s="2"/>
      <c r="V93" s="2"/>
      <c r="W93" s="2"/>
      <c r="X93" s="2"/>
      <c r="Y93" s="2"/>
      <c r="Z93" s="2"/>
      <c r="AA93" s="2"/>
      <c r="AB93" s="2"/>
      <c r="AC93" s="2"/>
      <c r="AD93" s="49"/>
      <c r="AE93" s="49"/>
      <c r="AF93" s="49"/>
      <c r="AG93" s="49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</row>
    <row r="94" spans="1:53" x14ac:dyDescent="0.25">
      <c r="A94" s="68"/>
      <c r="B94" s="68"/>
      <c r="C94" s="68"/>
      <c r="D94" s="68"/>
      <c r="E94" s="68"/>
      <c r="F94" s="68"/>
      <c r="G94" s="68"/>
      <c r="H94" s="97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2"/>
      <c r="U94" s="2"/>
      <c r="V94" s="2"/>
      <c r="W94" s="2"/>
      <c r="X94" s="2"/>
      <c r="Y94" s="2"/>
      <c r="Z94" s="2"/>
      <c r="AA94" s="2"/>
      <c r="AB94" s="2"/>
      <c r="AC94" s="2"/>
      <c r="AD94" s="49"/>
      <c r="AE94" s="49"/>
      <c r="AF94" s="49"/>
      <c r="AG94" s="49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</row>
    <row r="95" spans="1:53" x14ac:dyDescent="0.25">
      <c r="A95" s="68"/>
      <c r="B95" s="68"/>
      <c r="C95" s="68"/>
      <c r="D95" s="68"/>
      <c r="E95" s="68"/>
      <c r="F95" s="68"/>
      <c r="G95" s="68"/>
      <c r="H95" s="97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2"/>
      <c r="U95" s="2"/>
      <c r="V95" s="2"/>
      <c r="W95" s="2"/>
      <c r="X95" s="2"/>
      <c r="Y95" s="2"/>
      <c r="Z95" s="2"/>
      <c r="AA95" s="2"/>
      <c r="AB95" s="2"/>
      <c r="AC95" s="2"/>
      <c r="AD95" s="49"/>
      <c r="AE95" s="49"/>
      <c r="AF95" s="49"/>
      <c r="AG95" s="49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</row>
    <row r="96" spans="1:53" x14ac:dyDescent="0.25">
      <c r="A96" s="68"/>
      <c r="B96" s="68"/>
      <c r="C96" s="68"/>
      <c r="D96" s="68"/>
      <c r="E96" s="68"/>
      <c r="F96" s="68"/>
      <c r="G96" s="68"/>
      <c r="H96" s="97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2"/>
      <c r="U96" s="2"/>
      <c r="V96" s="2"/>
      <c r="W96" s="2"/>
      <c r="X96" s="2"/>
      <c r="Y96" s="2"/>
      <c r="Z96" s="2"/>
      <c r="AA96" s="2"/>
      <c r="AB96" s="2"/>
      <c r="AC96" s="2"/>
      <c r="AD96" s="49"/>
      <c r="AE96" s="49"/>
      <c r="AF96" s="49"/>
      <c r="AG96" s="49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</row>
    <row r="97" spans="1:57" x14ac:dyDescent="0.25">
      <c r="A97" s="68"/>
      <c r="B97" s="68"/>
      <c r="C97" s="68"/>
      <c r="D97" s="68"/>
      <c r="E97" s="68"/>
      <c r="F97" s="68"/>
      <c r="G97" s="68"/>
      <c r="H97" s="97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2"/>
      <c r="U97" s="2"/>
      <c r="V97" s="2"/>
      <c r="W97" s="2"/>
      <c r="X97" s="2"/>
      <c r="Y97" s="2"/>
      <c r="Z97" s="2"/>
      <c r="AA97" s="2"/>
      <c r="AB97" s="2"/>
      <c r="AC97" s="2"/>
      <c r="AD97" s="49"/>
      <c r="AE97" s="49"/>
      <c r="AF97" s="49"/>
      <c r="AG97" s="49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</row>
    <row r="98" spans="1:57" x14ac:dyDescent="0.25">
      <c r="A98" s="68"/>
      <c r="B98" s="68"/>
      <c r="C98" s="68"/>
      <c r="D98" s="68"/>
      <c r="E98" s="68"/>
      <c r="F98" s="68"/>
      <c r="G98" s="68"/>
      <c r="H98" s="97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2"/>
      <c r="U98" s="2"/>
      <c r="V98" s="2"/>
      <c r="W98" s="2"/>
      <c r="X98" s="2"/>
      <c r="Y98" s="2"/>
      <c r="Z98" s="2"/>
      <c r="AA98" s="2"/>
      <c r="AB98" s="2"/>
      <c r="AC98" s="2"/>
      <c r="AD98" s="49"/>
      <c r="AE98" s="49"/>
      <c r="AF98" s="49"/>
      <c r="AG98" s="49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</row>
    <row r="99" spans="1:57" x14ac:dyDescent="0.25">
      <c r="A99" s="68"/>
      <c r="B99" s="68"/>
      <c r="C99" s="68"/>
      <c r="D99" s="68"/>
      <c r="E99" s="68"/>
      <c r="F99" s="68"/>
      <c r="G99" s="68"/>
      <c r="H99" s="97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2"/>
      <c r="U99" s="2"/>
      <c r="V99" s="7"/>
      <c r="W99" s="7"/>
      <c r="X99" s="7"/>
      <c r="Y99" s="6" t="s">
        <v>11</v>
      </c>
      <c r="Z99" s="7"/>
      <c r="AA99" s="2"/>
      <c r="AB99" s="8" t="s">
        <v>12</v>
      </c>
      <c r="AC99" s="2"/>
      <c r="AD99" s="49"/>
      <c r="AE99" s="49"/>
      <c r="AF99" s="49"/>
      <c r="AG99" s="49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</row>
    <row r="100" spans="1:57" x14ac:dyDescent="0.25">
      <c r="A100" s="68"/>
      <c r="B100" s="68"/>
      <c r="C100" s="68"/>
      <c r="D100" s="68"/>
      <c r="E100" s="68"/>
      <c r="F100" s="68"/>
      <c r="G100" s="68"/>
      <c r="H100" s="97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49"/>
      <c r="AE100" s="49"/>
      <c r="AF100" s="49"/>
      <c r="AG100" s="49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</row>
    <row r="101" spans="1:57" x14ac:dyDescent="0.25">
      <c r="A101" s="68"/>
      <c r="B101" s="68"/>
      <c r="C101" s="68"/>
      <c r="D101" s="68"/>
      <c r="E101" s="68"/>
      <c r="F101" s="68"/>
      <c r="G101" s="68"/>
      <c r="H101" s="97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1"/>
      <c r="U101" s="1"/>
      <c r="V101" s="1"/>
      <c r="W101" s="1"/>
      <c r="X101" s="1"/>
      <c r="Y101" s="1"/>
      <c r="Z101" s="1"/>
      <c r="AA101" s="1"/>
      <c r="AB101" s="1"/>
      <c r="AC101" s="65"/>
      <c r="AD101" s="49"/>
      <c r="AE101" s="49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</row>
    <row r="102" spans="1:57" x14ac:dyDescent="0.25">
      <c r="A102" s="68"/>
      <c r="B102" s="68"/>
      <c r="C102" s="68"/>
      <c r="D102" s="68"/>
      <c r="E102" s="68"/>
      <c r="F102" s="68"/>
      <c r="G102" s="68"/>
      <c r="H102" s="97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1"/>
      <c r="U102" s="1"/>
      <c r="V102" s="1"/>
      <c r="W102" s="1"/>
      <c r="X102" s="1"/>
      <c r="Y102" s="1"/>
      <c r="Z102" s="1"/>
      <c r="AA102" s="1"/>
      <c r="AB102" s="1"/>
      <c r="AC102" s="65"/>
      <c r="AD102" s="49"/>
      <c r="AE102" s="49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</row>
    <row r="103" spans="1:57" x14ac:dyDescent="0.25">
      <c r="A103" s="68"/>
      <c r="B103" s="68"/>
      <c r="C103" s="68"/>
      <c r="D103" s="68"/>
      <c r="E103" s="68"/>
      <c r="F103" s="68"/>
      <c r="G103" s="68"/>
      <c r="H103" s="97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1"/>
      <c r="U103" s="1"/>
      <c r="V103" s="1"/>
      <c r="W103" s="1"/>
      <c r="X103" s="1"/>
      <c r="Y103" s="1"/>
      <c r="Z103" s="1"/>
      <c r="AA103" s="1"/>
      <c r="AB103" s="1"/>
      <c r="AC103" s="65"/>
      <c r="AD103" s="49"/>
      <c r="AE103" s="49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</row>
    <row r="104" spans="1:57" x14ac:dyDescent="0.25">
      <c r="A104" s="68"/>
      <c r="B104" s="68"/>
      <c r="C104" s="68"/>
      <c r="D104" s="68"/>
      <c r="E104" s="68"/>
      <c r="F104" s="68"/>
      <c r="G104" s="68"/>
      <c r="H104" s="97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1"/>
      <c r="U104" s="1"/>
      <c r="V104" s="1"/>
      <c r="W104" s="1"/>
      <c r="X104" s="1"/>
      <c r="Y104" s="1"/>
      <c r="Z104" s="1"/>
      <c r="AA104" s="1"/>
      <c r="AB104" s="1"/>
      <c r="AC104" s="65"/>
      <c r="AD104" s="49"/>
      <c r="AE104" s="49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</row>
    <row r="105" spans="1:57" x14ac:dyDescent="0.25">
      <c r="A105" s="68"/>
      <c r="B105" s="68"/>
      <c r="C105" s="68"/>
      <c r="D105" s="68"/>
      <c r="E105" s="68"/>
      <c r="F105" s="68"/>
      <c r="G105" s="68"/>
      <c r="H105" s="97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49"/>
      <c r="AE105" s="49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</row>
    <row r="106" spans="1:57" x14ac:dyDescent="0.25">
      <c r="A106" s="68"/>
      <c r="B106" s="68"/>
      <c r="C106" s="68"/>
      <c r="D106" s="68"/>
      <c r="E106" s="68"/>
      <c r="F106" s="68"/>
      <c r="G106" s="68"/>
      <c r="H106" s="97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49"/>
      <c r="AE106" s="49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</row>
    <row r="107" spans="1:57" x14ac:dyDescent="0.25">
      <c r="A107" s="68"/>
      <c r="B107" s="68"/>
      <c r="C107" s="68"/>
      <c r="D107" s="68"/>
      <c r="E107" s="68"/>
      <c r="F107" s="68"/>
      <c r="G107" s="68"/>
      <c r="H107" s="97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49"/>
      <c r="AE107" s="49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</row>
    <row r="108" spans="1:57" x14ac:dyDescent="0.25">
      <c r="A108" s="68"/>
      <c r="B108" s="68"/>
      <c r="C108" s="68"/>
      <c r="D108" s="68"/>
      <c r="E108" s="68"/>
      <c r="F108" s="68"/>
      <c r="G108" s="68"/>
      <c r="H108" s="97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</row>
    <row r="109" spans="1:57" x14ac:dyDescent="0.25">
      <c r="A109" s="68"/>
      <c r="B109" s="68"/>
      <c r="C109" s="68"/>
      <c r="D109" s="68"/>
      <c r="E109" s="68"/>
      <c r="F109" s="68"/>
      <c r="G109" s="68"/>
      <c r="H109" s="97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</row>
    <row r="110" spans="1:57" x14ac:dyDescent="0.25">
      <c r="A110" s="68"/>
      <c r="B110" s="68"/>
      <c r="C110" s="68"/>
      <c r="D110" s="68"/>
      <c r="E110" s="68"/>
      <c r="F110" s="68"/>
      <c r="G110" s="68"/>
      <c r="H110" s="97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U110" s="1"/>
      <c r="V110" s="1"/>
      <c r="W110" s="1"/>
      <c r="X110" s="1"/>
      <c r="Y110" s="1"/>
      <c r="Z110" s="1"/>
      <c r="AA110" s="1"/>
      <c r="AB110" s="1"/>
      <c r="AC110" s="1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</row>
    <row r="111" spans="1:57" x14ac:dyDescent="0.25">
      <c r="A111" s="68"/>
      <c r="B111" s="68"/>
      <c r="C111" s="68"/>
      <c r="D111" s="68"/>
      <c r="E111" s="68"/>
      <c r="F111" s="68"/>
      <c r="G111" s="68"/>
      <c r="H111" s="97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V111" s="1"/>
      <c r="W111" s="1"/>
      <c r="X111" s="1"/>
      <c r="Y111" s="1"/>
      <c r="Z111" s="1"/>
      <c r="AA111" s="1"/>
      <c r="AB111" s="1"/>
      <c r="AC111" s="1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</row>
    <row r="112" spans="1:57" x14ac:dyDescent="0.25">
      <c r="A112" s="68"/>
      <c r="B112" s="68"/>
      <c r="C112" s="68"/>
      <c r="D112" s="68"/>
      <c r="E112" s="68"/>
      <c r="F112" s="68"/>
      <c r="G112" s="68"/>
      <c r="H112" s="97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U112" s="1"/>
      <c r="V112" s="1"/>
      <c r="W112" s="1"/>
      <c r="X112" s="1"/>
      <c r="Y112" s="1"/>
      <c r="Z112" s="1"/>
      <c r="AA112" s="1"/>
      <c r="AB112" s="1"/>
      <c r="AC112" s="1"/>
      <c r="AD112" s="65"/>
      <c r="AE112" s="65"/>
      <c r="AF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</row>
    <row r="113" spans="1:59" x14ac:dyDescent="0.25">
      <c r="A113" s="68"/>
      <c r="B113" s="68"/>
      <c r="C113" s="68"/>
      <c r="D113" s="68"/>
      <c r="E113" s="68"/>
      <c r="F113" s="68"/>
      <c r="G113" s="68"/>
      <c r="H113" s="97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U113" s="1"/>
      <c r="V113" s="1"/>
      <c r="W113" s="1"/>
      <c r="X113" s="1"/>
      <c r="Y113" s="1"/>
      <c r="Z113" s="1"/>
      <c r="AA113" s="1"/>
      <c r="AB113" s="1"/>
      <c r="AC113" s="1"/>
      <c r="AD113" s="65"/>
      <c r="AE113" s="65"/>
      <c r="AF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</row>
    <row r="114" spans="1:59" x14ac:dyDescent="0.25">
      <c r="A114" s="68"/>
      <c r="B114" s="68"/>
      <c r="C114" s="68"/>
      <c r="D114" s="68"/>
      <c r="E114" s="68"/>
      <c r="F114" s="68"/>
      <c r="G114" s="68"/>
      <c r="H114" s="97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U114" s="1"/>
      <c r="V114" s="1"/>
      <c r="W114" s="1"/>
      <c r="X114" s="1"/>
      <c r="Y114" s="1"/>
      <c r="Z114" s="1"/>
      <c r="AA114" s="1"/>
      <c r="AB114" s="1"/>
      <c r="AC114" s="1"/>
      <c r="AD114" s="65"/>
      <c r="AE114" s="65"/>
      <c r="AF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</row>
    <row r="115" spans="1:59" x14ac:dyDescent="0.25">
      <c r="A115" s="68"/>
      <c r="B115" s="68"/>
      <c r="C115" s="68"/>
      <c r="D115" s="68"/>
      <c r="E115" s="68"/>
      <c r="F115" s="68"/>
      <c r="G115" s="68"/>
      <c r="H115" s="97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AD115" s="65"/>
      <c r="AE115" s="65"/>
      <c r="AF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</row>
    <row r="116" spans="1:59" x14ac:dyDescent="0.25">
      <c r="A116" s="68"/>
      <c r="B116" s="68"/>
      <c r="C116" s="68"/>
      <c r="D116" s="68"/>
      <c r="E116" s="68"/>
      <c r="F116" s="68"/>
      <c r="G116" s="68"/>
      <c r="H116" s="97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AD116" s="65"/>
      <c r="AE116" s="65"/>
      <c r="AF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</row>
    <row r="117" spans="1:59" x14ac:dyDescent="0.25">
      <c r="A117" s="68"/>
      <c r="B117" s="68"/>
      <c r="C117" s="68"/>
      <c r="D117" s="68"/>
      <c r="E117" s="68"/>
      <c r="F117" s="68"/>
      <c r="G117" s="68"/>
      <c r="H117" s="97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AD117" s="65"/>
      <c r="AE117" s="65"/>
      <c r="AF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</row>
    <row r="118" spans="1:59" x14ac:dyDescent="0.25">
      <c r="A118" s="68"/>
      <c r="B118" s="68"/>
      <c r="C118" s="68"/>
      <c r="D118" s="68"/>
      <c r="E118" s="68"/>
      <c r="F118" s="68"/>
      <c r="G118" s="68"/>
      <c r="H118" s="97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AD118" s="65"/>
      <c r="AE118" s="65"/>
      <c r="AF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</row>
    <row r="119" spans="1:59" x14ac:dyDescent="0.25">
      <c r="A119" s="68"/>
      <c r="B119" s="68"/>
      <c r="C119" s="68"/>
      <c r="D119" s="68"/>
      <c r="E119" s="68"/>
      <c r="F119" s="68"/>
      <c r="G119" s="68"/>
      <c r="H119" s="97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AD119" s="65"/>
      <c r="AE119" s="65"/>
      <c r="AF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</row>
    <row r="120" spans="1:59" x14ac:dyDescent="0.25">
      <c r="A120" s="68"/>
      <c r="B120" s="68"/>
      <c r="C120" s="68"/>
      <c r="D120" s="68"/>
      <c r="E120" s="68"/>
      <c r="F120" s="68"/>
      <c r="G120" s="68"/>
      <c r="H120" s="97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AD120" s="1"/>
      <c r="AE120" s="1"/>
      <c r="AF120" s="1"/>
    </row>
    <row r="121" spans="1:59" x14ac:dyDescent="0.25">
      <c r="A121" s="68"/>
      <c r="B121" s="68"/>
      <c r="C121" s="68"/>
      <c r="D121" s="68"/>
      <c r="E121" s="68"/>
      <c r="F121" s="68"/>
      <c r="G121" s="68"/>
      <c r="H121" s="97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AD121" s="1"/>
      <c r="AE121" s="1"/>
      <c r="AF121" s="1"/>
    </row>
    <row r="122" spans="1:59" x14ac:dyDescent="0.25">
      <c r="A122" s="68"/>
      <c r="B122" s="68"/>
      <c r="C122" s="68"/>
      <c r="D122" s="68"/>
      <c r="E122" s="68"/>
      <c r="F122" s="68"/>
      <c r="G122" s="68"/>
      <c r="H122" s="97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AD122" s="1"/>
      <c r="AE122" s="1"/>
      <c r="AF122" s="1"/>
    </row>
    <row r="123" spans="1:59" x14ac:dyDescent="0.25">
      <c r="A123" s="68"/>
      <c r="B123" s="68"/>
      <c r="C123" s="68"/>
      <c r="D123" s="68"/>
      <c r="E123" s="68"/>
      <c r="F123" s="68"/>
      <c r="G123" s="68"/>
      <c r="H123" s="97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AD123" s="1"/>
      <c r="AE123" s="1"/>
      <c r="AF123" s="1"/>
    </row>
    <row r="124" spans="1:59" x14ac:dyDescent="0.25">
      <c r="A124" s="68"/>
      <c r="B124" s="68"/>
      <c r="C124" s="68"/>
      <c r="D124" s="68"/>
      <c r="E124" s="68"/>
      <c r="F124" s="68"/>
      <c r="G124" s="68"/>
      <c r="H124" s="97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AD124" s="1"/>
      <c r="AE124" s="1"/>
      <c r="AF124" s="1"/>
    </row>
    <row r="125" spans="1:59" x14ac:dyDescent="0.25">
      <c r="A125" s="68"/>
      <c r="B125" s="68"/>
      <c r="C125" s="68"/>
      <c r="D125" s="68"/>
      <c r="E125" s="68"/>
      <c r="F125" s="68"/>
      <c r="G125" s="68"/>
      <c r="H125" s="97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AD125" s="1"/>
      <c r="AE125" s="1"/>
      <c r="AF125" s="1"/>
    </row>
    <row r="126" spans="1:59" x14ac:dyDescent="0.25">
      <c r="A126" s="68"/>
      <c r="B126" s="68"/>
      <c r="C126" s="68"/>
      <c r="D126" s="68"/>
      <c r="E126" s="68"/>
      <c r="F126" s="68"/>
      <c r="G126" s="68"/>
      <c r="H126" s="97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AD126" s="1"/>
      <c r="AE126" s="1"/>
      <c r="AF126" s="1"/>
    </row>
    <row r="127" spans="1:59" x14ac:dyDescent="0.25">
      <c r="A127" s="68"/>
      <c r="B127" s="68"/>
      <c r="C127" s="68"/>
      <c r="D127" s="68"/>
      <c r="E127" s="68"/>
      <c r="F127" s="68"/>
      <c r="G127" s="68"/>
      <c r="H127" s="97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AD127" s="1"/>
      <c r="AE127" s="1"/>
      <c r="AF127" s="1"/>
    </row>
    <row r="128" spans="1:59" x14ac:dyDescent="0.25">
      <c r="A128" s="68"/>
      <c r="B128" s="68"/>
      <c r="C128" s="68"/>
      <c r="D128" s="68"/>
      <c r="E128" s="68"/>
      <c r="F128" s="68"/>
      <c r="G128" s="68"/>
      <c r="H128" s="97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AD128" s="1"/>
      <c r="AE128" s="1"/>
      <c r="AF128" s="1"/>
    </row>
    <row r="129" spans="1:32" x14ac:dyDescent="0.25">
      <c r="A129" s="68"/>
      <c r="B129" s="68"/>
      <c r="C129" s="68"/>
      <c r="D129" s="68"/>
      <c r="E129" s="68"/>
      <c r="F129" s="68"/>
      <c r="G129" s="68"/>
      <c r="H129" s="97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AD129" s="1"/>
      <c r="AE129" s="1"/>
      <c r="AF129" s="1"/>
    </row>
    <row r="130" spans="1:32" x14ac:dyDescent="0.25">
      <c r="A130" s="68"/>
      <c r="B130" s="68"/>
      <c r="C130" s="68"/>
      <c r="D130" s="68"/>
      <c r="E130" s="68"/>
      <c r="F130" s="68"/>
      <c r="G130" s="68"/>
      <c r="H130" s="97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</row>
    <row r="131" spans="1:32" x14ac:dyDescent="0.25">
      <c r="A131" s="68"/>
      <c r="B131" s="68"/>
      <c r="C131" s="68"/>
      <c r="D131" s="68"/>
      <c r="E131" s="68"/>
      <c r="F131" s="68"/>
      <c r="G131" s="68"/>
      <c r="H131" s="97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</row>
    <row r="132" spans="1:32" x14ac:dyDescent="0.25">
      <c r="A132" s="68"/>
      <c r="B132" s="68"/>
      <c r="C132" s="68"/>
      <c r="D132" s="68"/>
      <c r="E132" s="68"/>
      <c r="F132" s="68"/>
      <c r="G132" s="68"/>
      <c r="H132" s="97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</row>
    <row r="133" spans="1:32" x14ac:dyDescent="0.25">
      <c r="A133" s="68"/>
      <c r="B133" s="68"/>
      <c r="C133" s="68"/>
      <c r="D133" s="68"/>
      <c r="E133" s="68"/>
      <c r="F133" s="68"/>
      <c r="G133" s="68"/>
      <c r="H133" s="97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</row>
    <row r="134" spans="1:32" x14ac:dyDescent="0.25">
      <c r="A134" s="68"/>
      <c r="B134" s="68"/>
      <c r="C134" s="68"/>
      <c r="D134" s="68"/>
      <c r="E134" s="68"/>
      <c r="F134" s="68"/>
      <c r="G134" s="68"/>
      <c r="H134" s="97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</row>
    <row r="135" spans="1:32" x14ac:dyDescent="0.25">
      <c r="A135" s="68"/>
      <c r="B135" s="68"/>
      <c r="C135" s="68"/>
      <c r="D135" s="68"/>
      <c r="E135" s="68"/>
      <c r="F135" s="68"/>
      <c r="G135" s="68"/>
      <c r="H135" s="97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</row>
    <row r="136" spans="1:32" x14ac:dyDescent="0.25">
      <c r="A136" s="68"/>
      <c r="B136" s="68"/>
      <c r="C136" s="68"/>
      <c r="D136" s="68"/>
      <c r="E136" s="68"/>
      <c r="F136" s="68"/>
      <c r="G136" s="68"/>
      <c r="H136" s="97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</row>
    <row r="137" spans="1:32" x14ac:dyDescent="0.25">
      <c r="A137" s="68"/>
      <c r="B137" s="68"/>
      <c r="C137" s="68"/>
      <c r="D137" s="68"/>
      <c r="E137" s="68"/>
      <c r="F137" s="68"/>
      <c r="G137" s="68"/>
      <c r="H137" s="97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</row>
    <row r="138" spans="1:32" x14ac:dyDescent="0.25">
      <c r="A138" s="68"/>
      <c r="B138" s="68"/>
      <c r="C138" s="68"/>
      <c r="D138" s="68"/>
      <c r="E138" s="68"/>
      <c r="F138" s="68"/>
      <c r="G138" s="68"/>
      <c r="H138" s="97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</row>
    <row r="139" spans="1:32" x14ac:dyDescent="0.25">
      <c r="A139" s="68"/>
      <c r="B139" s="68"/>
      <c r="C139" s="68"/>
      <c r="D139" s="68"/>
      <c r="E139" s="68"/>
      <c r="F139" s="68"/>
      <c r="G139" s="68"/>
      <c r="H139" s="97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</row>
    <row r="140" spans="1:32" x14ac:dyDescent="0.25">
      <c r="A140" s="68"/>
      <c r="B140" s="68"/>
      <c r="C140" s="68"/>
      <c r="D140" s="68"/>
      <c r="E140" s="68"/>
      <c r="F140" s="68"/>
      <c r="G140" s="68"/>
      <c r="H140" s="97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</row>
    <row r="141" spans="1:32" x14ac:dyDescent="0.25">
      <c r="A141" s="68"/>
      <c r="B141" s="68"/>
      <c r="C141" s="68"/>
      <c r="D141" s="68"/>
      <c r="E141" s="68"/>
      <c r="F141" s="68"/>
      <c r="G141" s="68"/>
      <c r="H141" s="97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</row>
    <row r="142" spans="1:32" x14ac:dyDescent="0.25">
      <c r="A142" s="68"/>
      <c r="B142" s="68"/>
      <c r="C142" s="68"/>
      <c r="D142" s="68"/>
      <c r="E142" s="68"/>
      <c r="F142" s="68"/>
      <c r="G142" s="68"/>
      <c r="H142" s="97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</row>
    <row r="143" spans="1:32" x14ac:dyDescent="0.25">
      <c r="A143" s="68"/>
      <c r="B143" s="68"/>
      <c r="C143" s="68"/>
      <c r="D143" s="68"/>
      <c r="E143" s="68"/>
      <c r="F143" s="68"/>
      <c r="G143" s="68"/>
      <c r="H143" s="97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</row>
    <row r="144" spans="1:32" x14ac:dyDescent="0.25">
      <c r="A144" s="68"/>
      <c r="B144" s="68"/>
      <c r="C144" s="68"/>
      <c r="D144" s="68"/>
      <c r="E144" s="68"/>
      <c r="F144" s="68"/>
      <c r="G144" s="68"/>
      <c r="H144" s="97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</row>
    <row r="145" spans="1:19" x14ac:dyDescent="0.25">
      <c r="A145" s="68"/>
      <c r="B145" s="68"/>
      <c r="C145" s="68"/>
      <c r="D145" s="68"/>
      <c r="E145" s="68"/>
      <c r="F145" s="68"/>
      <c r="G145" s="68"/>
      <c r="H145" s="97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</row>
    <row r="146" spans="1:19" x14ac:dyDescent="0.25">
      <c r="A146" s="68"/>
      <c r="B146" s="68"/>
      <c r="C146" s="68"/>
      <c r="D146" s="68"/>
      <c r="E146" s="68"/>
      <c r="F146" s="68"/>
      <c r="G146" s="68"/>
      <c r="H146" s="97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</row>
    <row r="147" spans="1:19" x14ac:dyDescent="0.25">
      <c r="A147" s="68"/>
      <c r="B147" s="68"/>
      <c r="C147" s="68"/>
      <c r="D147" s="68"/>
      <c r="E147" s="68"/>
      <c r="F147" s="68"/>
      <c r="G147" s="68"/>
      <c r="H147" s="97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</row>
    <row r="148" spans="1:19" x14ac:dyDescent="0.25">
      <c r="A148" s="68"/>
      <c r="B148" s="68"/>
      <c r="C148" s="68"/>
      <c r="D148" s="68"/>
      <c r="E148" s="68"/>
      <c r="F148" s="68"/>
      <c r="G148" s="68"/>
      <c r="H148" s="97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</row>
    <row r="149" spans="1:19" x14ac:dyDescent="0.25">
      <c r="A149" s="68"/>
      <c r="B149" s="68"/>
      <c r="C149" s="68"/>
      <c r="D149" s="68"/>
      <c r="E149" s="68"/>
      <c r="F149" s="68"/>
      <c r="G149" s="68"/>
      <c r="H149" s="97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</row>
    <row r="150" spans="1:19" x14ac:dyDescent="0.25">
      <c r="A150" s="68"/>
      <c r="B150" s="68"/>
      <c r="C150" s="68"/>
      <c r="D150" s="68"/>
      <c r="E150" s="68"/>
      <c r="F150" s="68"/>
      <c r="G150" s="68"/>
      <c r="H150" s="97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</row>
    <row r="151" spans="1:19" x14ac:dyDescent="0.25">
      <c r="A151" s="68"/>
      <c r="B151" s="68"/>
      <c r="C151" s="68"/>
      <c r="D151" s="68"/>
      <c r="E151" s="68"/>
      <c r="F151" s="68"/>
      <c r="G151" s="68"/>
      <c r="H151" s="97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</row>
    <row r="152" spans="1:19" x14ac:dyDescent="0.25">
      <c r="A152" s="68"/>
      <c r="B152" s="68"/>
      <c r="C152" s="68"/>
      <c r="D152" s="68"/>
      <c r="E152" s="68"/>
      <c r="F152" s="68"/>
      <c r="G152" s="68"/>
      <c r="H152" s="97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</row>
    <row r="153" spans="1:19" x14ac:dyDescent="0.25">
      <c r="A153" s="68"/>
      <c r="B153" s="68"/>
      <c r="C153" s="68"/>
      <c r="D153" s="68"/>
      <c r="E153" s="68"/>
      <c r="F153" s="68"/>
      <c r="G153" s="68"/>
      <c r="H153" s="97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</row>
    <row r="154" spans="1:19" x14ac:dyDescent="0.25">
      <c r="A154" s="68"/>
      <c r="B154" s="68"/>
      <c r="C154" s="68"/>
      <c r="D154" s="68"/>
      <c r="E154" s="68"/>
      <c r="F154" s="68"/>
      <c r="G154" s="68"/>
      <c r="H154" s="97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</row>
    <row r="155" spans="1:19" x14ac:dyDescent="0.25">
      <c r="A155" s="68"/>
      <c r="B155" s="68"/>
      <c r="C155" s="68"/>
      <c r="D155" s="68"/>
      <c r="E155" s="68"/>
      <c r="F155" s="68"/>
      <c r="G155" s="68"/>
      <c r="H155" s="97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</row>
    <row r="156" spans="1:19" x14ac:dyDescent="0.25">
      <c r="A156" s="68"/>
      <c r="B156" s="68"/>
      <c r="C156" s="68"/>
      <c r="D156" s="68"/>
      <c r="E156" s="68"/>
      <c r="F156" s="68"/>
      <c r="G156" s="68"/>
      <c r="H156" s="97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</row>
    <row r="157" spans="1:19" x14ac:dyDescent="0.25">
      <c r="A157" s="68"/>
      <c r="B157" s="68"/>
      <c r="C157" s="68"/>
      <c r="D157" s="68"/>
      <c r="E157" s="68"/>
      <c r="F157" s="68"/>
      <c r="G157" s="68"/>
      <c r="H157" s="97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</row>
    <row r="158" spans="1:19" x14ac:dyDescent="0.25">
      <c r="A158" s="68"/>
      <c r="B158" s="68"/>
      <c r="C158" s="68"/>
      <c r="D158" s="68"/>
      <c r="E158" s="68"/>
      <c r="F158" s="68"/>
      <c r="G158" s="68"/>
      <c r="H158" s="97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</row>
    <row r="159" spans="1:19" x14ac:dyDescent="0.25">
      <c r="A159" s="68"/>
      <c r="B159" s="68"/>
      <c r="C159" s="68"/>
      <c r="D159" s="68"/>
      <c r="E159" s="68"/>
      <c r="F159" s="68"/>
      <c r="G159" s="68"/>
      <c r="H159" s="97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</row>
    <row r="160" spans="1:19" x14ac:dyDescent="0.25">
      <c r="A160" s="68"/>
      <c r="B160" s="68"/>
      <c r="C160" s="68"/>
      <c r="D160" s="68"/>
      <c r="E160" s="68"/>
      <c r="F160" s="68"/>
      <c r="G160" s="68"/>
      <c r="H160" s="97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</row>
    <row r="161" spans="1:19" x14ac:dyDescent="0.25">
      <c r="A161" s="68"/>
      <c r="B161" s="68"/>
      <c r="C161" s="68"/>
      <c r="D161" s="68"/>
      <c r="E161" s="68"/>
      <c r="F161" s="68"/>
      <c r="G161" s="68"/>
      <c r="H161" s="97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</row>
    <row r="162" spans="1:19" x14ac:dyDescent="0.25">
      <c r="A162" s="68"/>
      <c r="B162" s="68"/>
      <c r="C162" s="68"/>
      <c r="D162" s="68"/>
      <c r="E162" s="68"/>
      <c r="F162" s="68"/>
      <c r="G162" s="68"/>
      <c r="H162" s="97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</row>
    <row r="163" spans="1:19" x14ac:dyDescent="0.25">
      <c r="A163" s="68"/>
      <c r="B163" s="68"/>
      <c r="C163" s="68"/>
      <c r="D163" s="68"/>
      <c r="E163" s="68"/>
      <c r="F163" s="68"/>
      <c r="G163" s="68"/>
      <c r="H163" s="97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</row>
    <row r="164" spans="1:19" x14ac:dyDescent="0.25">
      <c r="A164" s="68"/>
      <c r="B164" s="68"/>
      <c r="C164" s="68"/>
      <c r="D164" s="68"/>
      <c r="E164" s="68"/>
      <c r="F164" s="68"/>
      <c r="G164" s="68"/>
      <c r="H164" s="97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</row>
    <row r="165" spans="1:19" x14ac:dyDescent="0.25">
      <c r="A165" s="68"/>
      <c r="B165" s="68"/>
      <c r="C165" s="68"/>
      <c r="D165" s="68"/>
      <c r="E165" s="68"/>
      <c r="F165" s="68"/>
      <c r="G165" s="68"/>
      <c r="H165" s="97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</row>
    <row r="166" spans="1:19" x14ac:dyDescent="0.25">
      <c r="A166" s="68"/>
      <c r="B166" s="68"/>
      <c r="C166" s="68"/>
      <c r="D166" s="68"/>
      <c r="E166" s="68"/>
      <c r="F166" s="68"/>
      <c r="G166" s="68"/>
      <c r="H166" s="97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</row>
    <row r="167" spans="1:19" x14ac:dyDescent="0.25">
      <c r="A167" s="68"/>
      <c r="B167" s="68"/>
      <c r="C167" s="68"/>
      <c r="D167" s="68"/>
      <c r="E167" s="68"/>
      <c r="F167" s="68"/>
      <c r="G167" s="68"/>
      <c r="H167" s="97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</row>
    <row r="168" spans="1:19" x14ac:dyDescent="0.25">
      <c r="A168" s="68"/>
      <c r="B168" s="68"/>
      <c r="C168" s="68"/>
      <c r="D168" s="68"/>
      <c r="E168" s="68"/>
      <c r="F168" s="68"/>
      <c r="G168" s="68"/>
      <c r="H168" s="97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</row>
    <row r="169" spans="1:19" x14ac:dyDescent="0.25">
      <c r="A169" s="68"/>
      <c r="B169" s="68"/>
      <c r="C169" s="68"/>
      <c r="D169" s="68"/>
      <c r="E169" s="68"/>
      <c r="F169" s="68"/>
      <c r="G169" s="68"/>
      <c r="H169" s="97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</row>
    <row r="170" spans="1:19" x14ac:dyDescent="0.25">
      <c r="A170" s="68"/>
      <c r="B170" s="68"/>
      <c r="C170" s="68"/>
      <c r="D170" s="68"/>
      <c r="E170" s="68"/>
      <c r="F170" s="68"/>
      <c r="G170" s="68"/>
      <c r="H170" s="97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</row>
    <row r="171" spans="1:19" x14ac:dyDescent="0.25">
      <c r="A171" s="68"/>
      <c r="B171" s="68"/>
      <c r="C171" s="68"/>
      <c r="D171" s="68"/>
      <c r="E171" s="68"/>
      <c r="F171" s="68"/>
      <c r="G171" s="68"/>
      <c r="H171" s="97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</row>
    <row r="172" spans="1:19" x14ac:dyDescent="0.25">
      <c r="A172" s="68"/>
      <c r="B172" s="68"/>
      <c r="C172" s="68"/>
      <c r="D172" s="68"/>
      <c r="E172" s="68"/>
      <c r="F172" s="68"/>
      <c r="G172" s="68"/>
      <c r="H172" s="97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</row>
    <row r="173" spans="1:19" x14ac:dyDescent="0.25">
      <c r="A173" s="68"/>
      <c r="B173" s="68"/>
      <c r="C173" s="68"/>
      <c r="D173" s="68"/>
      <c r="E173" s="68"/>
      <c r="F173" s="68"/>
      <c r="G173" s="68"/>
      <c r="H173" s="97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</row>
    <row r="174" spans="1:19" x14ac:dyDescent="0.25">
      <c r="A174" s="68"/>
      <c r="B174" s="68"/>
      <c r="C174" s="68"/>
      <c r="D174" s="68"/>
      <c r="E174" s="68"/>
      <c r="F174" s="68"/>
      <c r="G174" s="68"/>
      <c r="H174" s="97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</row>
    <row r="175" spans="1:19" x14ac:dyDescent="0.25">
      <c r="A175" s="68"/>
      <c r="B175" s="68"/>
      <c r="C175" s="68"/>
      <c r="D175" s="68"/>
      <c r="E175" s="68"/>
      <c r="F175" s="68"/>
      <c r="G175" s="68"/>
      <c r="H175" s="97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</row>
    <row r="176" spans="1:19" x14ac:dyDescent="0.25">
      <c r="A176" s="68"/>
      <c r="B176" s="68"/>
      <c r="C176" s="68"/>
      <c r="D176" s="68"/>
      <c r="E176" s="68"/>
      <c r="F176" s="68"/>
      <c r="G176" s="68"/>
      <c r="H176" s="97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</row>
    <row r="177" spans="1:19" x14ac:dyDescent="0.25">
      <c r="A177" s="68"/>
      <c r="B177" s="68"/>
      <c r="C177" s="68"/>
      <c r="D177" s="68"/>
      <c r="E177" s="68"/>
      <c r="F177" s="68"/>
      <c r="G177" s="68"/>
      <c r="H177" s="97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</row>
    <row r="178" spans="1:19" x14ac:dyDescent="0.25">
      <c r="A178" s="68"/>
      <c r="B178" s="68"/>
      <c r="C178" s="68"/>
      <c r="D178" s="68"/>
      <c r="E178" s="68"/>
      <c r="F178" s="68"/>
      <c r="G178" s="68"/>
      <c r="H178" s="97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</row>
    <row r="179" spans="1:19" x14ac:dyDescent="0.25">
      <c r="A179" s="68"/>
      <c r="B179" s="68"/>
      <c r="C179" s="68"/>
      <c r="D179" s="68"/>
      <c r="E179" s="68"/>
      <c r="F179" s="68"/>
      <c r="G179" s="68"/>
      <c r="H179" s="97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</row>
    <row r="180" spans="1:19" x14ac:dyDescent="0.25">
      <c r="A180" s="68"/>
      <c r="B180" s="68"/>
      <c r="C180" s="68"/>
      <c r="D180" s="68"/>
      <c r="E180" s="68"/>
      <c r="F180" s="68"/>
      <c r="G180" s="68"/>
      <c r="H180" s="97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</row>
    <row r="181" spans="1:19" x14ac:dyDescent="0.25">
      <c r="A181" s="68"/>
      <c r="B181" s="68"/>
      <c r="C181" s="68"/>
      <c r="D181" s="68"/>
      <c r="E181" s="68"/>
      <c r="F181" s="68"/>
      <c r="G181" s="68"/>
      <c r="H181" s="97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</row>
    <row r="182" spans="1:19" x14ac:dyDescent="0.25">
      <c r="A182" s="68"/>
      <c r="B182" s="68"/>
      <c r="C182" s="68"/>
      <c r="D182" s="68"/>
      <c r="E182" s="68"/>
      <c r="F182" s="68"/>
      <c r="G182" s="68"/>
      <c r="H182" s="97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</row>
    <row r="183" spans="1:19" x14ac:dyDescent="0.25">
      <c r="A183" s="68"/>
      <c r="B183" s="68"/>
      <c r="C183" s="68"/>
      <c r="D183" s="68"/>
      <c r="E183" s="68"/>
      <c r="F183" s="68"/>
      <c r="G183" s="68"/>
      <c r="H183" s="97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</row>
    <row r="184" spans="1:19" x14ac:dyDescent="0.25">
      <c r="A184" s="68"/>
      <c r="B184" s="68"/>
      <c r="C184" s="68"/>
      <c r="D184" s="68"/>
      <c r="E184" s="68"/>
      <c r="F184" s="68"/>
      <c r="G184" s="68"/>
      <c r="H184" s="97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</row>
    <row r="185" spans="1:19" x14ac:dyDescent="0.25">
      <c r="A185" s="68"/>
      <c r="B185" s="68"/>
      <c r="C185" s="68"/>
      <c r="D185" s="68"/>
      <c r="E185" s="68"/>
      <c r="F185" s="68"/>
      <c r="G185" s="68"/>
      <c r="H185" s="97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</row>
    <row r="186" spans="1:19" x14ac:dyDescent="0.25">
      <c r="A186" s="68"/>
      <c r="B186" s="68"/>
      <c r="C186" s="68"/>
      <c r="D186" s="68"/>
      <c r="E186" s="68"/>
      <c r="F186" s="68"/>
      <c r="G186" s="68"/>
      <c r="H186" s="97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</row>
    <row r="187" spans="1:19" x14ac:dyDescent="0.25">
      <c r="A187" s="68"/>
      <c r="B187" s="68"/>
      <c r="C187" s="68"/>
      <c r="D187" s="68"/>
      <c r="E187" s="68"/>
      <c r="F187" s="68"/>
      <c r="G187" s="68"/>
      <c r="H187" s="97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</row>
    <row r="188" spans="1:19" x14ac:dyDescent="0.25">
      <c r="A188" s="68"/>
      <c r="B188" s="68"/>
      <c r="C188" s="68"/>
      <c r="D188" s="68"/>
      <c r="E188" s="68"/>
      <c r="F188" s="68"/>
      <c r="G188" s="68"/>
      <c r="H188" s="97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</row>
    <row r="189" spans="1:19" x14ac:dyDescent="0.25">
      <c r="A189" s="68"/>
      <c r="B189" s="68"/>
      <c r="C189" s="68"/>
      <c r="D189" s="68"/>
      <c r="E189" s="68"/>
      <c r="F189" s="68"/>
      <c r="G189" s="68"/>
      <c r="H189" s="97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</row>
    <row r="190" spans="1:19" x14ac:dyDescent="0.25">
      <c r="A190" s="68"/>
      <c r="B190" s="68"/>
      <c r="C190" s="68"/>
      <c r="D190" s="68"/>
      <c r="E190" s="68"/>
      <c r="F190" s="68"/>
      <c r="G190" s="68"/>
      <c r="H190" s="97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</row>
    <row r="191" spans="1:19" x14ac:dyDescent="0.25">
      <c r="A191" s="68"/>
      <c r="B191" s="68"/>
      <c r="C191" s="68"/>
      <c r="D191" s="68"/>
      <c r="E191" s="68"/>
      <c r="F191" s="68"/>
      <c r="G191" s="68"/>
      <c r="H191" s="97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</row>
    <row r="192" spans="1:19" x14ac:dyDescent="0.25">
      <c r="A192" s="68"/>
      <c r="B192" s="68"/>
      <c r="C192" s="68"/>
      <c r="D192" s="68"/>
      <c r="E192" s="68"/>
      <c r="F192" s="68"/>
      <c r="G192" s="68"/>
      <c r="H192" s="97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</row>
    <row r="193" spans="1:19" x14ac:dyDescent="0.25">
      <c r="A193" s="68"/>
      <c r="B193" s="68"/>
      <c r="C193" s="68"/>
      <c r="D193" s="68"/>
      <c r="E193" s="68"/>
      <c r="F193" s="68"/>
      <c r="G193" s="68"/>
      <c r="H193" s="97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</row>
    <row r="194" spans="1:19" x14ac:dyDescent="0.25">
      <c r="A194" s="68"/>
      <c r="B194" s="68"/>
      <c r="C194" s="68"/>
      <c r="D194" s="68"/>
      <c r="E194" s="68"/>
      <c r="F194" s="68"/>
      <c r="G194" s="68"/>
      <c r="H194" s="97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</row>
    <row r="195" spans="1:19" x14ac:dyDescent="0.25">
      <c r="A195" s="68"/>
      <c r="B195" s="68"/>
      <c r="C195" s="68"/>
      <c r="D195" s="68"/>
      <c r="E195" s="68"/>
      <c r="F195" s="68"/>
      <c r="G195" s="68"/>
      <c r="H195" s="97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</row>
    <row r="196" spans="1:19" x14ac:dyDescent="0.25">
      <c r="A196" s="68"/>
      <c r="B196" s="68"/>
      <c r="C196" s="68"/>
      <c r="D196" s="68"/>
      <c r="E196" s="68"/>
      <c r="F196" s="68"/>
      <c r="G196" s="68"/>
      <c r="H196" s="97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</row>
    <row r="197" spans="1:19" x14ac:dyDescent="0.25">
      <c r="A197" s="68"/>
      <c r="B197" s="68"/>
      <c r="C197" s="68"/>
      <c r="D197" s="68"/>
      <c r="E197" s="68"/>
      <c r="F197" s="68"/>
      <c r="G197" s="68"/>
      <c r="H197" s="97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</row>
    <row r="198" spans="1:19" x14ac:dyDescent="0.25">
      <c r="A198" s="68"/>
      <c r="B198" s="68"/>
      <c r="C198" s="68"/>
      <c r="D198" s="68"/>
      <c r="E198" s="68"/>
      <c r="F198" s="68"/>
      <c r="G198" s="68"/>
      <c r="H198" s="97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</row>
    <row r="199" spans="1:19" x14ac:dyDescent="0.25">
      <c r="A199" s="68"/>
      <c r="B199" s="68"/>
      <c r="C199" s="68"/>
      <c r="D199" s="68"/>
      <c r="E199" s="68"/>
      <c r="F199" s="68"/>
      <c r="G199" s="68"/>
      <c r="H199" s="97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</row>
    <row r="200" spans="1:19" x14ac:dyDescent="0.25">
      <c r="A200" s="68"/>
      <c r="B200" s="68"/>
      <c r="C200" s="68"/>
      <c r="D200" s="68"/>
      <c r="E200" s="68"/>
      <c r="F200" s="68"/>
      <c r="G200" s="68"/>
      <c r="H200" s="97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</row>
    <row r="201" spans="1:19" x14ac:dyDescent="0.25">
      <c r="A201" s="68"/>
      <c r="B201" s="68"/>
      <c r="C201" s="68"/>
      <c r="D201" s="68"/>
      <c r="E201" s="68"/>
      <c r="F201" s="68"/>
      <c r="G201" s="68"/>
      <c r="H201" s="97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</row>
    <row r="202" spans="1:19" x14ac:dyDescent="0.25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</row>
    <row r="203" spans="1:19" x14ac:dyDescent="0.25">
      <c r="A203" s="68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</row>
    <row r="204" spans="1:19" x14ac:dyDescent="0.25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</row>
    <row r="205" spans="1:19" x14ac:dyDescent="0.25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</row>
    <row r="206" spans="1:19" x14ac:dyDescent="0.25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</row>
    <row r="207" spans="1:19" x14ac:dyDescent="0.25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</row>
    <row r="208" spans="1:19" x14ac:dyDescent="0.25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</row>
    <row r="209" spans="1:19" x14ac:dyDescent="0.25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</row>
    <row r="210" spans="1:19" x14ac:dyDescent="0.25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</row>
    <row r="211" spans="1:19" x14ac:dyDescent="0.25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</row>
    <row r="212" spans="1:19" x14ac:dyDescent="0.25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</row>
    <row r="213" spans="1:19" x14ac:dyDescent="0.25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</row>
    <row r="214" spans="1:19" x14ac:dyDescent="0.25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</row>
    <row r="215" spans="1:19" x14ac:dyDescent="0.25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</row>
    <row r="216" spans="1:19" x14ac:dyDescent="0.25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</row>
    <row r="217" spans="1:19" x14ac:dyDescent="0.25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</row>
    <row r="218" spans="1:19" x14ac:dyDescent="0.25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</row>
    <row r="219" spans="1:19" x14ac:dyDescent="0.25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</row>
    <row r="220" spans="1:19" x14ac:dyDescent="0.25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</row>
    <row r="221" spans="1:19" x14ac:dyDescent="0.25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</row>
    <row r="222" spans="1:19" x14ac:dyDescent="0.25">
      <c r="A222" s="68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</row>
    <row r="223" spans="1:19" x14ac:dyDescent="0.25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</row>
    <row r="224" spans="1:19" x14ac:dyDescent="0.25">
      <c r="A224" s="68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</row>
    <row r="225" spans="1:19" x14ac:dyDescent="0.25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</row>
    <row r="226" spans="1:19" x14ac:dyDescent="0.25">
      <c r="A226" s="68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</row>
    <row r="227" spans="1:19" x14ac:dyDescent="0.25">
      <c r="A227" s="68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</row>
    <row r="228" spans="1:19" x14ac:dyDescent="0.25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</row>
    <row r="229" spans="1:19" x14ac:dyDescent="0.25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</row>
    <row r="230" spans="1:19" x14ac:dyDescent="0.25">
      <c r="A230" s="68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</row>
    <row r="231" spans="1:19" x14ac:dyDescent="0.25">
      <c r="A231" s="68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</row>
    <row r="232" spans="1:19" x14ac:dyDescent="0.25">
      <c r="A232" s="68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</row>
    <row r="233" spans="1:19" x14ac:dyDescent="0.25">
      <c r="A233" s="68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</row>
    <row r="234" spans="1:19" x14ac:dyDescent="0.25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</row>
    <row r="235" spans="1:19" x14ac:dyDescent="0.25">
      <c r="A235" s="68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</row>
    <row r="236" spans="1:19" x14ac:dyDescent="0.25">
      <c r="A236" s="68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</row>
    <row r="237" spans="1:19" x14ac:dyDescent="0.25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</row>
    <row r="238" spans="1:19" x14ac:dyDescent="0.25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</row>
    <row r="239" spans="1:19" x14ac:dyDescent="0.25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</row>
    <row r="240" spans="1:19" x14ac:dyDescent="0.25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</row>
    <row r="241" spans="1:19" x14ac:dyDescent="0.25">
      <c r="A241" s="68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</row>
    <row r="242" spans="1:19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</row>
    <row r="243" spans="1:19" x14ac:dyDescent="0.25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</row>
    <row r="244" spans="1:19" x14ac:dyDescent="0.25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</row>
    <row r="245" spans="1:19" x14ac:dyDescent="0.25">
      <c r="A245" s="68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</row>
    <row r="246" spans="1:19" x14ac:dyDescent="0.25">
      <c r="A246" s="68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</row>
    <row r="247" spans="1:19" x14ac:dyDescent="0.25">
      <c r="A247" s="68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</row>
    <row r="248" spans="1:19" x14ac:dyDescent="0.25">
      <c r="A248" s="68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</row>
    <row r="249" spans="1:19" x14ac:dyDescent="0.25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</row>
    <row r="250" spans="1:19" x14ac:dyDescent="0.25">
      <c r="A250" s="68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</row>
    <row r="251" spans="1:19" x14ac:dyDescent="0.25">
      <c r="A251" s="68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</row>
    <row r="252" spans="1:19" x14ac:dyDescent="0.25">
      <c r="A252" s="68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</row>
    <row r="253" spans="1:19" x14ac:dyDescent="0.25">
      <c r="A253" s="68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</row>
    <row r="254" spans="1:19" x14ac:dyDescent="0.25">
      <c r="A254" s="68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</row>
    <row r="255" spans="1:19" x14ac:dyDescent="0.25">
      <c r="A255" s="68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</row>
    <row r="256" spans="1:19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</row>
    <row r="257" spans="1:19" x14ac:dyDescent="0.25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</row>
    <row r="258" spans="1:19" x14ac:dyDescent="0.25">
      <c r="A258" s="68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</row>
    <row r="259" spans="1:19" x14ac:dyDescent="0.25">
      <c r="A259" s="68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</row>
    <row r="260" spans="1:19" x14ac:dyDescent="0.25">
      <c r="A260" s="68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</row>
    <row r="261" spans="1:19" x14ac:dyDescent="0.25">
      <c r="A261" s="68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</row>
    <row r="262" spans="1:19" x14ac:dyDescent="0.25">
      <c r="A262" s="68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</row>
    <row r="263" spans="1:19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</row>
    <row r="264" spans="1:19" x14ac:dyDescent="0.25">
      <c r="A264" s="68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</row>
    <row r="265" spans="1:19" x14ac:dyDescent="0.25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</row>
    <row r="266" spans="1:19" x14ac:dyDescent="0.25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</row>
    <row r="267" spans="1:19" x14ac:dyDescent="0.25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</row>
    <row r="268" spans="1:19" x14ac:dyDescent="0.25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</row>
    <row r="269" spans="1:19" x14ac:dyDescent="0.25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</row>
    <row r="270" spans="1:19" x14ac:dyDescent="0.25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</row>
    <row r="271" spans="1:19" x14ac:dyDescent="0.25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</row>
    <row r="272" spans="1:19" x14ac:dyDescent="0.25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</row>
    <row r="273" spans="1:19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</row>
    <row r="274" spans="1:19" x14ac:dyDescent="0.25">
      <c r="A274" s="68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</row>
    <row r="275" spans="1:19" x14ac:dyDescent="0.25">
      <c r="A275" s="68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</row>
    <row r="276" spans="1:19" x14ac:dyDescent="0.25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</row>
    <row r="277" spans="1:19" x14ac:dyDescent="0.25">
      <c r="A277" s="68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</row>
    <row r="278" spans="1:19" x14ac:dyDescent="0.25">
      <c r="A278" s="68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</row>
    <row r="279" spans="1:19" x14ac:dyDescent="0.25">
      <c r="A279" s="68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</row>
    <row r="280" spans="1:19" x14ac:dyDescent="0.25">
      <c r="A280" s="68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</row>
    <row r="281" spans="1:19" x14ac:dyDescent="0.25">
      <c r="A281" s="68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</row>
    <row r="282" spans="1:19" x14ac:dyDescent="0.25">
      <c r="A282" s="68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</row>
    <row r="283" spans="1:19" x14ac:dyDescent="0.25">
      <c r="A283" s="68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</row>
    <row r="284" spans="1:19" x14ac:dyDescent="0.25">
      <c r="A284" s="68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</row>
    <row r="285" spans="1:19" x14ac:dyDescent="0.25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</row>
    <row r="286" spans="1:19" x14ac:dyDescent="0.25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</row>
    <row r="287" spans="1:19" x14ac:dyDescent="0.25">
      <c r="A287" s="68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</row>
    <row r="288" spans="1:19" x14ac:dyDescent="0.25">
      <c r="A288" s="68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</row>
    <row r="289" spans="1:19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</row>
    <row r="290" spans="1:19" x14ac:dyDescent="0.25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</row>
    <row r="291" spans="1:19" x14ac:dyDescent="0.25">
      <c r="A291" s="68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</row>
    <row r="292" spans="1:19" x14ac:dyDescent="0.25">
      <c r="A292" s="68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</row>
    <row r="293" spans="1:19" x14ac:dyDescent="0.25">
      <c r="A293" s="68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</row>
    <row r="294" spans="1:19" x14ac:dyDescent="0.25">
      <c r="A294" s="68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</row>
    <row r="295" spans="1:19" x14ac:dyDescent="0.25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</row>
    <row r="296" spans="1:19" x14ac:dyDescent="0.25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</row>
    <row r="297" spans="1:19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</row>
    <row r="298" spans="1:19" x14ac:dyDescent="0.25">
      <c r="A298" s="68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</row>
    <row r="299" spans="1:19" x14ac:dyDescent="0.25">
      <c r="A299" s="68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</row>
    <row r="300" spans="1:19" x14ac:dyDescent="0.25">
      <c r="A300" s="68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</row>
    <row r="301" spans="1:19" x14ac:dyDescent="0.25">
      <c r="A301" s="68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</row>
    <row r="302" spans="1:19" x14ac:dyDescent="0.25">
      <c r="A302" s="68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</row>
    <row r="303" spans="1:19" x14ac:dyDescent="0.25">
      <c r="A303" s="68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</row>
    <row r="304" spans="1:19" x14ac:dyDescent="0.25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</row>
    <row r="305" spans="1:19" x14ac:dyDescent="0.25">
      <c r="A305" s="68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</row>
    <row r="306" spans="1:19" x14ac:dyDescent="0.25">
      <c r="A306" s="68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</row>
    <row r="307" spans="1:19" x14ac:dyDescent="0.25">
      <c r="A307" s="68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</row>
    <row r="308" spans="1:19" x14ac:dyDescent="0.25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</row>
    <row r="309" spans="1:19" x14ac:dyDescent="0.25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</row>
    <row r="310" spans="1:19" x14ac:dyDescent="0.25">
      <c r="A310" s="68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</row>
    <row r="311" spans="1:19" x14ac:dyDescent="0.25">
      <c r="A311" s="68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</row>
    <row r="312" spans="1:19" x14ac:dyDescent="0.25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</row>
    <row r="313" spans="1:19" x14ac:dyDescent="0.25">
      <c r="A313" s="68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</row>
    <row r="314" spans="1:19" x14ac:dyDescent="0.25">
      <c r="A314" s="68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</row>
    <row r="315" spans="1:19" x14ac:dyDescent="0.25">
      <c r="A315" s="68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</row>
    <row r="316" spans="1:19" x14ac:dyDescent="0.25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</row>
    <row r="317" spans="1:19" x14ac:dyDescent="0.25">
      <c r="A317" s="68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</row>
    <row r="318" spans="1:19" x14ac:dyDescent="0.25">
      <c r="A318" s="68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</row>
    <row r="319" spans="1:19" x14ac:dyDescent="0.25">
      <c r="A319" s="68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</row>
    <row r="320" spans="1:19" x14ac:dyDescent="0.25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</row>
    <row r="321" spans="1:19" x14ac:dyDescent="0.25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</row>
    <row r="322" spans="1:19" x14ac:dyDescent="0.25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</row>
    <row r="323" spans="1:19" x14ac:dyDescent="0.25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</row>
    <row r="324" spans="1:19" x14ac:dyDescent="0.25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</row>
    <row r="325" spans="1:19" x14ac:dyDescent="0.25">
      <c r="A325" s="68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</row>
    <row r="326" spans="1:19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</row>
    <row r="327" spans="1:19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</row>
    <row r="328" spans="1:19" x14ac:dyDescent="0.25">
      <c r="A328" s="68"/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</row>
    <row r="329" spans="1:19" x14ac:dyDescent="0.25">
      <c r="A329" s="68"/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</row>
    <row r="330" spans="1:19" x14ac:dyDescent="0.25">
      <c r="A330" s="68"/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</row>
    <row r="331" spans="1:19" x14ac:dyDescent="0.25">
      <c r="A331" s="68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</row>
    <row r="332" spans="1:19" x14ac:dyDescent="0.25">
      <c r="A332" s="68"/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</row>
    <row r="333" spans="1:19" x14ac:dyDescent="0.25">
      <c r="A333" s="68"/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</row>
    <row r="334" spans="1:19" x14ac:dyDescent="0.25">
      <c r="A334" s="68"/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</row>
    <row r="335" spans="1:19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</row>
    <row r="336" spans="1:19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</row>
    <row r="337" spans="1:19" x14ac:dyDescent="0.25">
      <c r="A337" s="68"/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</row>
    <row r="338" spans="1:19" x14ac:dyDescent="0.25">
      <c r="A338" s="68"/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</row>
    <row r="339" spans="1:19" x14ac:dyDescent="0.25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</row>
    <row r="340" spans="1:19" x14ac:dyDescent="0.25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</row>
    <row r="341" spans="1:19" x14ac:dyDescent="0.25">
      <c r="A341" s="68"/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</row>
    <row r="342" spans="1:19" x14ac:dyDescent="0.25">
      <c r="A342" s="68"/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</row>
    <row r="343" spans="1:19" x14ac:dyDescent="0.25">
      <c r="A343" s="68"/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</row>
    <row r="344" spans="1:19" x14ac:dyDescent="0.25">
      <c r="A344" s="68"/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</row>
    <row r="345" spans="1:19" x14ac:dyDescent="0.25">
      <c r="A345" s="68"/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</row>
    <row r="346" spans="1:19" x14ac:dyDescent="0.25">
      <c r="A346" s="68"/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</row>
    <row r="347" spans="1:19" x14ac:dyDescent="0.25">
      <c r="A347" s="68"/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</row>
    <row r="348" spans="1:19" x14ac:dyDescent="0.25">
      <c r="A348" s="68"/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</row>
    <row r="349" spans="1:19" x14ac:dyDescent="0.25">
      <c r="A349" s="68"/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</row>
    <row r="350" spans="1:19" x14ac:dyDescent="0.25">
      <c r="A350" s="68"/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</row>
  </sheetData>
  <sheetProtection algorithmName="SHA-512" hashValue="b5lQdNQ5RngZ1xhi4Vpg7j+bmsiLYi5JSPOS+tCV5j0AY2xHjTCj1f0eDidoXbruB2fiNnQeGHrqyyyVhX7IBg==" saltValue="gHtq4+LrLTAYfYkXr5EoNw==" spinCount="100000" sheet="1" selectLockedCells="1"/>
  <conditionalFormatting sqref="U45:Y51">
    <cfRule type="cellIs" dxfId="3" priority="5" operator="equal">
      <formula>0</formula>
    </cfRule>
  </conditionalFormatting>
  <conditionalFormatting sqref="Y53">
    <cfRule type="containsText" dxfId="2" priority="3" operator="containsText" text="External">
      <formula>NOT(ISERROR(SEARCH("External",Y53)))</formula>
    </cfRule>
  </conditionalFormatting>
  <conditionalFormatting sqref="Y49:Y51">
    <cfRule type="beginsWith" dxfId="1" priority="2" operator="beginsWith" text="Not">
      <formula>LEFT(Y49,LEN("Not"))="Not"</formula>
    </cfRule>
  </conditionalFormatting>
  <conditionalFormatting sqref="V58">
    <cfRule type="beginsWith" dxfId="0" priority="1" operator="beginsWith" text="Maximum">
      <formula>LEFT(V58,LEN("Maximum"))="Maximum"</formula>
    </cfRule>
  </conditionalFormatting>
  <dataValidations count="3">
    <dataValidation type="decimal" operator="lessThanOrEqual" allowBlank="1" showInputMessage="1" showErrorMessage="1" error="Maximum pressure 150 bar" sqref="W21" xr:uid="{00000000-0002-0000-0000-000000000000}">
      <formula1>150</formula1>
    </dataValidation>
    <dataValidation type="decimal" allowBlank="1" showInputMessage="1" showErrorMessage="1" error="Out of range" sqref="W42" xr:uid="{00000000-0002-0000-0000-000001000000}">
      <formula1>0.1</formula1>
      <formula2>50</formula2>
    </dataValidation>
    <dataValidation type="decimal" allowBlank="1" showInputMessage="1" showErrorMessage="1" error="Out of range" sqref="W43" xr:uid="{00000000-0002-0000-0000-000002000000}">
      <formula1>0</formula1>
      <formula2>79.9</formula2>
    </dataValidation>
  </dataValidations>
  <hyperlinks>
    <hyperlink ref="AB99" r:id="rId1" xr:uid="{00000000-0004-0000-0000-000000000000}"/>
  </hyperlinks>
  <pageMargins left="0.7" right="0.7" top="0.75" bottom="0.75" header="0.3" footer="0.3"/>
  <pageSetup paperSize="9" scale="58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List_Box_1">
              <controlPr defaultSize="0" autoLine="0" autoPict="0" macro="[0]!ProductSelector">
                <anchor moveWithCells="1">
                  <from>
                    <xdr:col>20</xdr:col>
                    <xdr:colOff>38100</xdr:colOff>
                    <xdr:row>8</xdr:row>
                    <xdr:rowOff>0</xdr:rowOff>
                  </from>
                  <to>
                    <xdr:col>20</xdr:col>
                    <xdr:colOff>1114425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List_Box_2">
              <controlPr defaultSize="0" autoLine="0" autoPict="0" macro="[0]!ProductSelector">
                <anchor moveWithCells="1">
                  <from>
                    <xdr:col>20</xdr:col>
                    <xdr:colOff>1781175</xdr:colOff>
                    <xdr:row>8</xdr:row>
                    <xdr:rowOff>0</xdr:rowOff>
                  </from>
                  <to>
                    <xdr:col>21</xdr:col>
                    <xdr:colOff>790575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List_Box_4">
              <controlPr defaultSize="0" autoLine="0" autoPict="0" macro="[0]!ProductSelector">
                <anchor moveWithCells="1">
                  <from>
                    <xdr:col>21</xdr:col>
                    <xdr:colOff>1304925</xdr:colOff>
                    <xdr:row>8</xdr:row>
                    <xdr:rowOff>0</xdr:rowOff>
                  </from>
                  <to>
                    <xdr:col>22</xdr:col>
                    <xdr:colOff>657225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8" name="List_box_Quantity">
              <controlPr defaultSize="0" autoLine="0" autoPict="0">
                <anchor moveWithCells="1">
                  <from>
                    <xdr:col>25</xdr:col>
                    <xdr:colOff>152400</xdr:colOff>
                    <xdr:row>8</xdr:row>
                    <xdr:rowOff>0</xdr:rowOff>
                  </from>
                  <to>
                    <xdr:col>26</xdr:col>
                    <xdr:colOff>495300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9" name="List_Box_UsedStroke">
              <controlPr defaultSize="0" autoLine="0" autoPict="0">
                <anchor moveWithCells="1">
                  <from>
                    <xdr:col>23</xdr:col>
                    <xdr:colOff>171450</xdr:colOff>
                    <xdr:row>8</xdr:row>
                    <xdr:rowOff>0</xdr:rowOff>
                  </from>
                  <to>
                    <xdr:col>24</xdr:col>
                    <xdr:colOff>514350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0" name="ListBox_Cooling">
              <controlPr defaultSize="0" autoLine="0" autoPict="0" macro="[0]!ProductSelector">
                <anchor moveWithCells="1">
                  <from>
                    <xdr:col>20</xdr:col>
                    <xdr:colOff>0</xdr:colOff>
                    <xdr:row>57</xdr:row>
                    <xdr:rowOff>28575</xdr:rowOff>
                  </from>
                  <to>
                    <xdr:col>20</xdr:col>
                    <xdr:colOff>1800225</xdr:colOff>
                    <xdr:row>60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AA684"/>
  <sheetViews>
    <sheetView zoomScale="90" zoomScaleNormal="90" workbookViewId="0">
      <pane ySplit="1" topLeftCell="A2" activePane="bottomLeft" state="frozen"/>
      <selection pane="bottomLeft" activeCell="J57" sqref="J57"/>
    </sheetView>
  </sheetViews>
  <sheetFormatPr defaultRowHeight="15" x14ac:dyDescent="0.25"/>
  <cols>
    <col min="1" max="1" width="27.42578125" style="1" customWidth="1"/>
    <col min="2" max="3" width="35.42578125" style="1" customWidth="1"/>
    <col min="4" max="4" width="18.5703125" customWidth="1"/>
    <col min="5" max="5" width="18" bestFit="1" customWidth="1"/>
    <col min="6" max="6" width="22" bestFit="1" customWidth="1"/>
    <col min="7" max="7" width="23.85546875" customWidth="1"/>
    <col min="8" max="8" width="24.140625" bestFit="1" customWidth="1"/>
    <col min="9" max="9" width="23" customWidth="1"/>
    <col min="10" max="10" width="24.140625" customWidth="1"/>
    <col min="11" max="11" width="12.28515625" bestFit="1" customWidth="1"/>
    <col min="12" max="12" width="16.7109375" customWidth="1"/>
    <col min="13" max="13" width="20.5703125" bestFit="1" customWidth="1"/>
    <col min="14" max="14" width="16.140625" customWidth="1"/>
    <col min="15" max="15" width="18.7109375" bestFit="1" customWidth="1"/>
    <col min="16" max="16" width="26.85546875" customWidth="1"/>
    <col min="17" max="17" width="22.85546875" customWidth="1"/>
    <col min="18" max="18" width="23.42578125" customWidth="1"/>
    <col min="21" max="21" width="20.140625" style="1" customWidth="1"/>
    <col min="22" max="22" width="23.42578125" style="1" customWidth="1"/>
    <col min="23" max="23" width="35.140625" bestFit="1" customWidth="1"/>
    <col min="24" max="24" width="22.7109375" customWidth="1"/>
  </cols>
  <sheetData>
    <row r="1" spans="1:24" x14ac:dyDescent="0.25">
      <c r="B1" s="1" t="s">
        <v>121</v>
      </c>
      <c r="D1" t="s">
        <v>0</v>
      </c>
      <c r="E1" t="s">
        <v>101</v>
      </c>
      <c r="F1" t="s">
        <v>729</v>
      </c>
      <c r="G1" t="s">
        <v>1</v>
      </c>
      <c r="H1" t="s">
        <v>2</v>
      </c>
      <c r="I1" t="s">
        <v>102</v>
      </c>
      <c r="J1" t="s">
        <v>103</v>
      </c>
      <c r="K1" t="s">
        <v>104</v>
      </c>
      <c r="L1" t="s">
        <v>738</v>
      </c>
      <c r="M1" t="s">
        <v>742</v>
      </c>
      <c r="N1" t="s">
        <v>823</v>
      </c>
      <c r="O1" t="s">
        <v>3</v>
      </c>
      <c r="P1" t="s">
        <v>4</v>
      </c>
      <c r="S1" s="1"/>
      <c r="T1" s="1"/>
      <c r="W1" s="1"/>
      <c r="X1" s="1"/>
    </row>
    <row r="2" spans="1:24" s="25" customFormat="1" x14ac:dyDescent="0.25">
      <c r="A2" s="25" t="s">
        <v>28</v>
      </c>
      <c r="B2" s="25" t="s">
        <v>29</v>
      </c>
      <c r="C2" s="25">
        <v>1500</v>
      </c>
      <c r="D2" s="26">
        <v>10</v>
      </c>
      <c r="E2" s="25">
        <v>0.2</v>
      </c>
      <c r="F2" s="25">
        <v>36</v>
      </c>
      <c r="G2" s="25">
        <v>25</v>
      </c>
      <c r="H2" s="25">
        <v>150</v>
      </c>
      <c r="I2" s="25">
        <v>5</v>
      </c>
      <c r="J2" s="27">
        <v>17</v>
      </c>
      <c r="K2" s="27">
        <v>142</v>
      </c>
      <c r="L2" s="27">
        <v>15000</v>
      </c>
      <c r="M2" s="27">
        <v>22000</v>
      </c>
      <c r="N2" s="27">
        <v>80</v>
      </c>
      <c r="O2" s="27" t="s">
        <v>13</v>
      </c>
      <c r="P2" s="25" t="s">
        <v>37</v>
      </c>
      <c r="Q2" s="27"/>
      <c r="R2" s="27"/>
      <c r="V2" s="27"/>
    </row>
    <row r="3" spans="1:24" s="25" customFormat="1" x14ac:dyDescent="0.25">
      <c r="A3" s="25" t="s">
        <v>28</v>
      </c>
      <c r="B3" s="25" t="s">
        <v>29</v>
      </c>
      <c r="C3" s="25">
        <v>1500</v>
      </c>
      <c r="D3" s="26">
        <v>20</v>
      </c>
      <c r="E3" s="25">
        <v>0.2</v>
      </c>
      <c r="F3" s="25">
        <v>36</v>
      </c>
      <c r="G3" s="25">
        <v>25</v>
      </c>
      <c r="H3" s="25">
        <v>150</v>
      </c>
      <c r="I3" s="25">
        <v>12</v>
      </c>
      <c r="J3" s="27">
        <v>27</v>
      </c>
      <c r="K3" s="27">
        <v>152</v>
      </c>
      <c r="L3" s="27">
        <v>15000</v>
      </c>
      <c r="M3" s="27">
        <v>22000</v>
      </c>
      <c r="N3" s="27">
        <v>80</v>
      </c>
      <c r="P3" s="25" t="s">
        <v>38</v>
      </c>
      <c r="Q3" s="27"/>
      <c r="R3" s="27"/>
      <c r="V3" s="27"/>
    </row>
    <row r="4" spans="1:24" s="25" customFormat="1" x14ac:dyDescent="0.25">
      <c r="A4" s="25" t="s">
        <v>28</v>
      </c>
      <c r="B4" s="25" t="s">
        <v>29</v>
      </c>
      <c r="C4" s="25">
        <v>1500</v>
      </c>
      <c r="D4" s="26">
        <v>30</v>
      </c>
      <c r="E4" s="25">
        <v>0.2</v>
      </c>
      <c r="F4" s="25">
        <v>36</v>
      </c>
      <c r="G4" s="25">
        <v>25</v>
      </c>
      <c r="H4" s="25">
        <v>150</v>
      </c>
      <c r="I4" s="25">
        <v>22</v>
      </c>
      <c r="J4" s="27">
        <v>37</v>
      </c>
      <c r="K4" s="27">
        <v>162</v>
      </c>
      <c r="L4" s="27">
        <v>15000</v>
      </c>
      <c r="M4" s="27">
        <v>22000</v>
      </c>
      <c r="N4" s="27">
        <v>80</v>
      </c>
      <c r="P4" s="25" t="s">
        <v>39</v>
      </c>
      <c r="Q4" s="27"/>
      <c r="R4" s="27"/>
      <c r="V4" s="27"/>
    </row>
    <row r="5" spans="1:24" s="25" customFormat="1" x14ac:dyDescent="0.25">
      <c r="A5" s="25" t="s">
        <v>28</v>
      </c>
      <c r="B5" s="25" t="s">
        <v>29</v>
      </c>
      <c r="C5" s="25">
        <v>1500</v>
      </c>
      <c r="D5" s="26">
        <v>40</v>
      </c>
      <c r="E5" s="25">
        <v>0.2</v>
      </c>
      <c r="F5" s="25">
        <v>36</v>
      </c>
      <c r="G5" s="25">
        <v>25</v>
      </c>
      <c r="H5" s="25">
        <v>150</v>
      </c>
      <c r="I5" s="25">
        <v>32</v>
      </c>
      <c r="J5" s="27">
        <v>47</v>
      </c>
      <c r="K5" s="27">
        <v>172</v>
      </c>
      <c r="L5" s="27">
        <v>15000</v>
      </c>
      <c r="M5" s="27">
        <v>22000</v>
      </c>
      <c r="N5" s="27">
        <v>80</v>
      </c>
      <c r="P5" s="25" t="s">
        <v>40</v>
      </c>
      <c r="Q5" s="27"/>
      <c r="R5" s="27"/>
      <c r="V5" s="27"/>
    </row>
    <row r="6" spans="1:24" s="25" customFormat="1" x14ac:dyDescent="0.25">
      <c r="A6" s="25" t="s">
        <v>28</v>
      </c>
      <c r="B6" s="25" t="s">
        <v>29</v>
      </c>
      <c r="C6" s="25">
        <v>1500</v>
      </c>
      <c r="D6" s="26">
        <v>50</v>
      </c>
      <c r="E6" s="25">
        <v>0.2</v>
      </c>
      <c r="F6" s="25">
        <v>36</v>
      </c>
      <c r="G6" s="25">
        <v>25</v>
      </c>
      <c r="H6" s="25">
        <v>150</v>
      </c>
      <c r="I6" s="25">
        <v>42</v>
      </c>
      <c r="J6" s="27">
        <v>57</v>
      </c>
      <c r="K6" s="27">
        <v>182</v>
      </c>
      <c r="L6" s="27">
        <v>15000</v>
      </c>
      <c r="M6" s="27">
        <v>22000</v>
      </c>
      <c r="N6" s="27">
        <v>80</v>
      </c>
      <c r="P6" s="25" t="s">
        <v>41</v>
      </c>
      <c r="Q6" s="27"/>
      <c r="R6" s="27"/>
      <c r="V6" s="27"/>
    </row>
    <row r="7" spans="1:24" s="25" customFormat="1" x14ac:dyDescent="0.25">
      <c r="A7" s="25" t="s">
        <v>28</v>
      </c>
      <c r="B7" s="25" t="s">
        <v>29</v>
      </c>
      <c r="C7" s="25">
        <v>1500</v>
      </c>
      <c r="D7" s="26">
        <v>60</v>
      </c>
      <c r="E7" s="25">
        <v>0.2</v>
      </c>
      <c r="F7" s="25">
        <v>36</v>
      </c>
      <c r="G7" s="25">
        <v>25</v>
      </c>
      <c r="H7" s="25">
        <v>150</v>
      </c>
      <c r="I7" s="25">
        <v>52</v>
      </c>
      <c r="J7" s="27">
        <v>67</v>
      </c>
      <c r="K7" s="27">
        <v>192</v>
      </c>
      <c r="L7" s="27">
        <v>15000</v>
      </c>
      <c r="M7" s="27">
        <v>22000</v>
      </c>
      <c r="N7" s="27">
        <v>80</v>
      </c>
      <c r="P7" s="25" t="s">
        <v>42</v>
      </c>
      <c r="Q7" s="27"/>
      <c r="R7" s="27"/>
      <c r="V7" s="27"/>
    </row>
    <row r="8" spans="1:24" s="25" customFormat="1" x14ac:dyDescent="0.25">
      <c r="A8" s="25" t="s">
        <v>28</v>
      </c>
      <c r="B8" s="25" t="s">
        <v>29</v>
      </c>
      <c r="C8" s="25">
        <v>1500</v>
      </c>
      <c r="D8" s="26">
        <v>70</v>
      </c>
      <c r="E8" s="25">
        <v>0.2</v>
      </c>
      <c r="F8" s="25">
        <v>36</v>
      </c>
      <c r="G8" s="25">
        <v>25</v>
      </c>
      <c r="H8" s="25">
        <v>150</v>
      </c>
      <c r="I8" s="27">
        <v>62</v>
      </c>
      <c r="J8" s="25">
        <v>77</v>
      </c>
      <c r="K8" s="25">
        <v>202</v>
      </c>
      <c r="L8" s="27">
        <v>15000</v>
      </c>
      <c r="M8" s="27">
        <v>22000</v>
      </c>
      <c r="N8" s="27">
        <v>80</v>
      </c>
      <c r="P8" s="25" t="s">
        <v>43</v>
      </c>
      <c r="Q8" s="27"/>
      <c r="R8" s="27"/>
      <c r="V8" s="27"/>
    </row>
    <row r="9" spans="1:24" s="25" customFormat="1" x14ac:dyDescent="0.25">
      <c r="A9" s="25" t="s">
        <v>28</v>
      </c>
      <c r="B9" s="25" t="s">
        <v>29</v>
      </c>
      <c r="C9" s="25">
        <v>1500</v>
      </c>
      <c r="D9" s="26">
        <v>80</v>
      </c>
      <c r="E9" s="25">
        <v>0.2</v>
      </c>
      <c r="F9" s="25">
        <v>36</v>
      </c>
      <c r="G9" s="25">
        <v>25</v>
      </c>
      <c r="H9" s="25">
        <v>150</v>
      </c>
      <c r="I9" s="27">
        <v>72</v>
      </c>
      <c r="J9" s="25">
        <v>87</v>
      </c>
      <c r="K9" s="25">
        <v>212</v>
      </c>
      <c r="L9" s="27">
        <v>15000</v>
      </c>
      <c r="M9" s="27">
        <v>22000</v>
      </c>
      <c r="N9" s="27">
        <v>80</v>
      </c>
      <c r="P9" s="25" t="s">
        <v>44</v>
      </c>
      <c r="Q9" s="27"/>
      <c r="R9" s="27"/>
      <c r="V9" s="27"/>
    </row>
    <row r="10" spans="1:24" s="25" customFormat="1" x14ac:dyDescent="0.25">
      <c r="A10" s="25" t="s">
        <v>28</v>
      </c>
      <c r="B10" s="25" t="s">
        <v>29</v>
      </c>
      <c r="C10" s="25">
        <v>1500</v>
      </c>
      <c r="D10" s="26">
        <v>90</v>
      </c>
      <c r="E10" s="25">
        <v>0.2</v>
      </c>
      <c r="F10" s="25">
        <v>36</v>
      </c>
      <c r="G10" s="25">
        <v>25</v>
      </c>
      <c r="H10" s="25">
        <v>150</v>
      </c>
      <c r="I10" s="27">
        <v>82</v>
      </c>
      <c r="J10" s="25">
        <v>97</v>
      </c>
      <c r="K10" s="25">
        <v>222</v>
      </c>
      <c r="L10" s="27">
        <v>15000</v>
      </c>
      <c r="M10" s="27">
        <v>22000</v>
      </c>
      <c r="N10" s="27">
        <v>80</v>
      </c>
      <c r="P10" s="25" t="s">
        <v>45</v>
      </c>
      <c r="Q10" s="27"/>
      <c r="R10" s="27"/>
      <c r="V10" s="27"/>
    </row>
    <row r="11" spans="1:24" s="25" customFormat="1" x14ac:dyDescent="0.25">
      <c r="A11" s="25" t="s">
        <v>28</v>
      </c>
      <c r="B11" s="25" t="s">
        <v>29</v>
      </c>
      <c r="C11" s="25">
        <v>1500</v>
      </c>
      <c r="D11" s="26">
        <v>100</v>
      </c>
      <c r="E11" s="25">
        <v>0.2</v>
      </c>
      <c r="F11" s="25">
        <v>36</v>
      </c>
      <c r="G11" s="25">
        <v>25</v>
      </c>
      <c r="H11" s="25">
        <v>150</v>
      </c>
      <c r="I11" s="27">
        <v>92</v>
      </c>
      <c r="J11" s="25">
        <v>107</v>
      </c>
      <c r="K11" s="25">
        <v>232</v>
      </c>
      <c r="L11" s="27">
        <v>15000</v>
      </c>
      <c r="M11" s="27">
        <v>22000</v>
      </c>
      <c r="N11" s="27">
        <v>80</v>
      </c>
      <c r="P11" s="25" t="s">
        <v>46</v>
      </c>
      <c r="Q11" s="27"/>
      <c r="R11" s="27"/>
      <c r="V11" s="27"/>
    </row>
    <row r="12" spans="1:24" s="25" customFormat="1" x14ac:dyDescent="0.25">
      <c r="A12" s="25" t="s">
        <v>28</v>
      </c>
      <c r="B12" s="25" t="s">
        <v>29</v>
      </c>
      <c r="C12" s="25">
        <v>1500</v>
      </c>
      <c r="D12" s="26">
        <v>110</v>
      </c>
      <c r="E12" s="25">
        <v>0.2</v>
      </c>
      <c r="F12" s="25">
        <v>36</v>
      </c>
      <c r="G12" s="25">
        <v>25</v>
      </c>
      <c r="H12" s="25">
        <v>150</v>
      </c>
      <c r="I12" s="25">
        <v>102</v>
      </c>
      <c r="J12" s="27">
        <v>117</v>
      </c>
      <c r="K12" s="27">
        <v>242</v>
      </c>
      <c r="L12" s="27">
        <v>15000</v>
      </c>
      <c r="M12" s="27">
        <v>22000</v>
      </c>
      <c r="N12" s="27">
        <v>80</v>
      </c>
      <c r="P12" s="25" t="s">
        <v>47</v>
      </c>
      <c r="Q12" s="27"/>
      <c r="R12" s="27"/>
      <c r="V12" s="27"/>
    </row>
    <row r="13" spans="1:24" s="25" customFormat="1" x14ac:dyDescent="0.25">
      <c r="A13" s="25" t="s">
        <v>28</v>
      </c>
      <c r="B13" s="25" t="s">
        <v>29</v>
      </c>
      <c r="C13" s="25">
        <v>1500</v>
      </c>
      <c r="D13" s="26">
        <v>120</v>
      </c>
      <c r="E13" s="25">
        <v>0.2</v>
      </c>
      <c r="F13" s="25">
        <v>36</v>
      </c>
      <c r="G13" s="25">
        <v>25</v>
      </c>
      <c r="H13" s="25">
        <v>150</v>
      </c>
      <c r="I13" s="25">
        <v>112</v>
      </c>
      <c r="J13" s="27">
        <v>127</v>
      </c>
      <c r="K13" s="27">
        <v>252</v>
      </c>
      <c r="L13" s="27">
        <v>15000</v>
      </c>
      <c r="M13" s="27">
        <v>22000</v>
      </c>
      <c r="N13" s="27">
        <v>80</v>
      </c>
      <c r="P13" s="25" t="s">
        <v>48</v>
      </c>
      <c r="Q13" s="27"/>
      <c r="R13" s="27"/>
      <c r="V13" s="27"/>
    </row>
    <row r="14" spans="1:24" s="25" customFormat="1" x14ac:dyDescent="0.25">
      <c r="A14" s="25" t="s">
        <v>28</v>
      </c>
      <c r="B14" s="25" t="s">
        <v>29</v>
      </c>
      <c r="C14" s="25">
        <v>1500</v>
      </c>
      <c r="D14" s="26">
        <v>130</v>
      </c>
      <c r="E14" s="25">
        <v>0.2</v>
      </c>
      <c r="F14" s="25">
        <v>36</v>
      </c>
      <c r="G14" s="25">
        <v>25</v>
      </c>
      <c r="H14" s="25">
        <v>150</v>
      </c>
      <c r="I14" s="25">
        <v>122</v>
      </c>
      <c r="J14" s="27">
        <v>137</v>
      </c>
      <c r="K14" s="27">
        <v>262</v>
      </c>
      <c r="L14" s="27">
        <v>15000</v>
      </c>
      <c r="M14" s="27">
        <v>22000</v>
      </c>
      <c r="N14" s="27">
        <v>80</v>
      </c>
      <c r="P14" s="25" t="s">
        <v>49</v>
      </c>
      <c r="Q14" s="27"/>
      <c r="R14" s="27"/>
      <c r="V14" s="27"/>
    </row>
    <row r="15" spans="1:24" s="25" customFormat="1" x14ac:dyDescent="0.25">
      <c r="A15" s="25" t="s">
        <v>28</v>
      </c>
      <c r="B15" s="25" t="s">
        <v>29</v>
      </c>
      <c r="C15" s="25">
        <v>1500</v>
      </c>
      <c r="D15" s="26">
        <v>140</v>
      </c>
      <c r="E15" s="25">
        <v>0.2</v>
      </c>
      <c r="F15" s="25">
        <v>36</v>
      </c>
      <c r="G15" s="25">
        <v>25</v>
      </c>
      <c r="H15" s="25">
        <v>150</v>
      </c>
      <c r="I15" s="25">
        <v>132</v>
      </c>
      <c r="J15" s="27">
        <v>147</v>
      </c>
      <c r="K15" s="27">
        <v>272</v>
      </c>
      <c r="L15" s="27">
        <v>15000</v>
      </c>
      <c r="M15" s="27">
        <v>22000</v>
      </c>
      <c r="N15" s="27">
        <v>80</v>
      </c>
      <c r="P15" s="25" t="s">
        <v>50</v>
      </c>
      <c r="Q15" s="27"/>
      <c r="R15" s="27"/>
      <c r="V15" s="27"/>
    </row>
    <row r="16" spans="1:24" s="25" customFormat="1" x14ac:dyDescent="0.25">
      <c r="A16" s="25" t="s">
        <v>28</v>
      </c>
      <c r="B16" s="25" t="s">
        <v>29</v>
      </c>
      <c r="C16" s="25">
        <v>1500</v>
      </c>
      <c r="D16" s="26">
        <v>150</v>
      </c>
      <c r="E16" s="25">
        <v>0.2</v>
      </c>
      <c r="F16" s="25">
        <v>36</v>
      </c>
      <c r="G16" s="25">
        <v>25</v>
      </c>
      <c r="H16" s="25">
        <v>150</v>
      </c>
      <c r="I16" s="25">
        <v>142</v>
      </c>
      <c r="J16" s="27">
        <v>157</v>
      </c>
      <c r="K16" s="27">
        <v>282</v>
      </c>
      <c r="L16" s="27">
        <v>15000</v>
      </c>
      <c r="M16" s="27">
        <v>22000</v>
      </c>
      <c r="N16" s="27">
        <v>80</v>
      </c>
      <c r="P16" s="25" t="s">
        <v>51</v>
      </c>
      <c r="Q16" s="27"/>
      <c r="R16" s="27"/>
      <c r="V16" s="27"/>
    </row>
    <row r="17" spans="1:22" s="25" customFormat="1" x14ac:dyDescent="0.25">
      <c r="A17" s="25" t="s">
        <v>28</v>
      </c>
      <c r="B17" s="25" t="s">
        <v>29</v>
      </c>
      <c r="C17" s="25">
        <v>1500</v>
      </c>
      <c r="D17" s="26">
        <v>160</v>
      </c>
      <c r="E17" s="25">
        <v>0.2</v>
      </c>
      <c r="F17" s="25">
        <v>36</v>
      </c>
      <c r="G17" s="25">
        <v>25</v>
      </c>
      <c r="H17" s="25">
        <v>150</v>
      </c>
      <c r="I17" s="25">
        <v>152</v>
      </c>
      <c r="J17" s="27">
        <v>167</v>
      </c>
      <c r="K17" s="27">
        <v>292</v>
      </c>
      <c r="L17" s="27">
        <v>15000</v>
      </c>
      <c r="M17" s="27">
        <v>22000</v>
      </c>
      <c r="N17" s="27">
        <v>80</v>
      </c>
      <c r="P17" s="25" t="s">
        <v>52</v>
      </c>
      <c r="Q17" s="27"/>
      <c r="R17" s="27"/>
      <c r="V17" s="27"/>
    </row>
    <row r="18" spans="1:22" s="3" customFormat="1" x14ac:dyDescent="0.25">
      <c r="A18" s="3" t="s">
        <v>28</v>
      </c>
      <c r="B18" s="25" t="s">
        <v>30</v>
      </c>
      <c r="C18" s="25">
        <v>3000</v>
      </c>
      <c r="D18" s="23">
        <v>10</v>
      </c>
      <c r="E18" s="3">
        <v>0.2</v>
      </c>
      <c r="F18" s="3">
        <v>50</v>
      </c>
      <c r="G18" s="3">
        <v>25</v>
      </c>
      <c r="H18" s="3">
        <v>150</v>
      </c>
      <c r="I18" s="3">
        <v>6</v>
      </c>
      <c r="J18" s="24">
        <v>17</v>
      </c>
      <c r="K18" s="24">
        <f>K2+10</f>
        <v>152</v>
      </c>
      <c r="L18" s="24">
        <v>30000</v>
      </c>
      <c r="M18" s="3">
        <v>42000</v>
      </c>
      <c r="N18" s="3">
        <v>100</v>
      </c>
      <c r="P18" s="3" t="s">
        <v>53</v>
      </c>
      <c r="R18" s="24"/>
      <c r="V18" s="24"/>
    </row>
    <row r="19" spans="1:22" s="3" customFormat="1" x14ac:dyDescent="0.25">
      <c r="A19" s="3" t="s">
        <v>28</v>
      </c>
      <c r="B19" s="25" t="s">
        <v>30</v>
      </c>
      <c r="C19" s="25">
        <v>3000</v>
      </c>
      <c r="D19" s="23">
        <v>20</v>
      </c>
      <c r="E19" s="3">
        <v>0.2</v>
      </c>
      <c r="F19" s="3">
        <v>50</v>
      </c>
      <c r="G19" s="3">
        <v>25</v>
      </c>
      <c r="H19" s="3">
        <v>150</v>
      </c>
      <c r="I19" s="3">
        <v>12</v>
      </c>
      <c r="J19" s="24">
        <v>27</v>
      </c>
      <c r="K19" s="24">
        <f t="shared" ref="K19:K33" si="0">K3+10</f>
        <v>162</v>
      </c>
      <c r="L19" s="24">
        <v>30000</v>
      </c>
      <c r="M19" s="3">
        <v>42000</v>
      </c>
      <c r="N19" s="3">
        <v>100</v>
      </c>
      <c r="P19" s="3" t="s">
        <v>54</v>
      </c>
      <c r="R19" s="24"/>
      <c r="V19" s="24"/>
    </row>
    <row r="20" spans="1:22" s="3" customFormat="1" x14ac:dyDescent="0.25">
      <c r="A20" s="3" t="s">
        <v>28</v>
      </c>
      <c r="B20" s="25" t="s">
        <v>30</v>
      </c>
      <c r="C20" s="25">
        <v>3000</v>
      </c>
      <c r="D20" s="23">
        <v>30</v>
      </c>
      <c r="E20" s="3">
        <v>0.2</v>
      </c>
      <c r="F20" s="3">
        <v>50</v>
      </c>
      <c r="G20" s="3">
        <v>25</v>
      </c>
      <c r="H20" s="3">
        <v>150</v>
      </c>
      <c r="I20" s="3">
        <v>22</v>
      </c>
      <c r="J20" s="24">
        <v>37</v>
      </c>
      <c r="K20" s="24">
        <f t="shared" si="0"/>
        <v>172</v>
      </c>
      <c r="L20" s="24">
        <v>30000</v>
      </c>
      <c r="M20" s="3">
        <v>42000</v>
      </c>
      <c r="N20" s="3">
        <v>100</v>
      </c>
      <c r="P20" s="3" t="s">
        <v>55</v>
      </c>
      <c r="R20" s="24"/>
      <c r="V20" s="24"/>
    </row>
    <row r="21" spans="1:22" s="3" customFormat="1" x14ac:dyDescent="0.25">
      <c r="A21" s="3" t="s">
        <v>28</v>
      </c>
      <c r="B21" s="25" t="s">
        <v>30</v>
      </c>
      <c r="C21" s="25">
        <v>3000</v>
      </c>
      <c r="D21" s="23">
        <v>40</v>
      </c>
      <c r="E21" s="3">
        <v>0.2</v>
      </c>
      <c r="F21" s="3">
        <v>50</v>
      </c>
      <c r="G21" s="3">
        <v>25</v>
      </c>
      <c r="H21" s="3">
        <v>150</v>
      </c>
      <c r="I21" s="3">
        <v>32</v>
      </c>
      <c r="J21" s="24">
        <v>47</v>
      </c>
      <c r="K21" s="24">
        <f t="shared" si="0"/>
        <v>182</v>
      </c>
      <c r="L21" s="24">
        <v>30000</v>
      </c>
      <c r="M21" s="3">
        <v>42000</v>
      </c>
      <c r="N21" s="3">
        <v>100</v>
      </c>
      <c r="P21" s="3" t="s">
        <v>56</v>
      </c>
      <c r="R21" s="24"/>
      <c r="V21" s="24"/>
    </row>
    <row r="22" spans="1:22" s="3" customFormat="1" x14ac:dyDescent="0.25">
      <c r="A22" s="3" t="s">
        <v>28</v>
      </c>
      <c r="B22" s="25" t="s">
        <v>30</v>
      </c>
      <c r="C22" s="25">
        <v>3000</v>
      </c>
      <c r="D22" s="23">
        <v>50</v>
      </c>
      <c r="E22" s="3">
        <v>0.2</v>
      </c>
      <c r="F22" s="3">
        <v>50</v>
      </c>
      <c r="G22" s="3">
        <v>25</v>
      </c>
      <c r="H22" s="3">
        <v>150</v>
      </c>
      <c r="I22" s="3">
        <v>42</v>
      </c>
      <c r="J22" s="24">
        <v>57</v>
      </c>
      <c r="K22" s="24">
        <f t="shared" si="0"/>
        <v>192</v>
      </c>
      <c r="L22" s="24">
        <v>30000</v>
      </c>
      <c r="M22" s="3">
        <v>42000</v>
      </c>
      <c r="N22" s="3">
        <v>100</v>
      </c>
      <c r="P22" s="3" t="s">
        <v>57</v>
      </c>
      <c r="R22" s="24"/>
      <c r="V22" s="24"/>
    </row>
    <row r="23" spans="1:22" s="3" customFormat="1" x14ac:dyDescent="0.25">
      <c r="A23" s="3" t="s">
        <v>28</v>
      </c>
      <c r="B23" s="25" t="s">
        <v>30</v>
      </c>
      <c r="C23" s="25">
        <v>3000</v>
      </c>
      <c r="D23" s="23">
        <v>60</v>
      </c>
      <c r="E23" s="3">
        <v>0.2</v>
      </c>
      <c r="F23" s="3">
        <v>50</v>
      </c>
      <c r="G23" s="3">
        <v>25</v>
      </c>
      <c r="H23" s="3">
        <v>150</v>
      </c>
      <c r="I23" s="3">
        <v>52</v>
      </c>
      <c r="J23" s="24">
        <v>67</v>
      </c>
      <c r="K23" s="24">
        <f t="shared" si="0"/>
        <v>202</v>
      </c>
      <c r="L23" s="24">
        <v>30000</v>
      </c>
      <c r="M23" s="3">
        <v>42000</v>
      </c>
      <c r="N23" s="3">
        <v>100</v>
      </c>
      <c r="P23" s="3" t="s">
        <v>58</v>
      </c>
      <c r="R23" s="24"/>
      <c r="V23" s="24"/>
    </row>
    <row r="24" spans="1:22" s="3" customFormat="1" x14ac:dyDescent="0.25">
      <c r="A24" s="3" t="s">
        <v>28</v>
      </c>
      <c r="B24" s="25" t="s">
        <v>30</v>
      </c>
      <c r="C24" s="25">
        <v>3000</v>
      </c>
      <c r="D24" s="23">
        <v>70</v>
      </c>
      <c r="E24" s="3">
        <v>0.2</v>
      </c>
      <c r="F24" s="3">
        <v>50</v>
      </c>
      <c r="G24" s="3">
        <v>25</v>
      </c>
      <c r="H24" s="3">
        <v>150</v>
      </c>
      <c r="I24" s="24">
        <v>62</v>
      </c>
      <c r="J24" s="3">
        <v>77</v>
      </c>
      <c r="K24" s="24">
        <f t="shared" si="0"/>
        <v>212</v>
      </c>
      <c r="L24" s="24">
        <v>30000</v>
      </c>
      <c r="M24" s="3">
        <v>42000</v>
      </c>
      <c r="N24" s="3">
        <v>100</v>
      </c>
      <c r="P24" s="3" t="s">
        <v>59</v>
      </c>
      <c r="R24" s="24"/>
      <c r="V24" s="24"/>
    </row>
    <row r="25" spans="1:22" s="3" customFormat="1" x14ac:dyDescent="0.25">
      <c r="A25" s="3" t="s">
        <v>28</v>
      </c>
      <c r="B25" s="25" t="s">
        <v>30</v>
      </c>
      <c r="C25" s="25">
        <v>3000</v>
      </c>
      <c r="D25" s="23">
        <v>80</v>
      </c>
      <c r="E25" s="3">
        <v>0.2</v>
      </c>
      <c r="F25" s="3">
        <v>50</v>
      </c>
      <c r="G25" s="3">
        <v>25</v>
      </c>
      <c r="H25" s="3">
        <v>150</v>
      </c>
      <c r="I25" s="24">
        <v>72</v>
      </c>
      <c r="J25" s="3">
        <v>87</v>
      </c>
      <c r="K25" s="24">
        <f t="shared" si="0"/>
        <v>222</v>
      </c>
      <c r="L25" s="24">
        <v>30000</v>
      </c>
      <c r="M25" s="3">
        <v>42000</v>
      </c>
      <c r="N25" s="3">
        <v>100</v>
      </c>
      <c r="P25" s="3" t="s">
        <v>60</v>
      </c>
      <c r="R25" s="24"/>
      <c r="V25" s="24"/>
    </row>
    <row r="26" spans="1:22" s="3" customFormat="1" x14ac:dyDescent="0.25">
      <c r="A26" s="3" t="s">
        <v>28</v>
      </c>
      <c r="B26" s="25" t="s">
        <v>30</v>
      </c>
      <c r="C26" s="25">
        <v>3000</v>
      </c>
      <c r="D26" s="23">
        <v>90</v>
      </c>
      <c r="E26" s="3">
        <v>0.2</v>
      </c>
      <c r="F26" s="3">
        <v>50</v>
      </c>
      <c r="G26" s="3">
        <v>25</v>
      </c>
      <c r="H26" s="3">
        <v>150</v>
      </c>
      <c r="I26" s="24">
        <v>82</v>
      </c>
      <c r="J26" s="3">
        <v>97</v>
      </c>
      <c r="K26" s="24">
        <f t="shared" si="0"/>
        <v>232</v>
      </c>
      <c r="L26" s="24">
        <v>30000</v>
      </c>
      <c r="M26" s="3">
        <v>42000</v>
      </c>
      <c r="N26" s="3">
        <v>100</v>
      </c>
      <c r="P26" s="3" t="s">
        <v>61</v>
      </c>
      <c r="R26" s="24"/>
      <c r="V26" s="24"/>
    </row>
    <row r="27" spans="1:22" s="3" customFormat="1" x14ac:dyDescent="0.25">
      <c r="A27" s="3" t="s">
        <v>28</v>
      </c>
      <c r="B27" s="25" t="s">
        <v>30</v>
      </c>
      <c r="C27" s="25">
        <v>3000</v>
      </c>
      <c r="D27" s="23">
        <v>100</v>
      </c>
      <c r="E27" s="3">
        <v>0.2</v>
      </c>
      <c r="F27" s="3">
        <v>50</v>
      </c>
      <c r="G27" s="3">
        <v>25</v>
      </c>
      <c r="H27" s="3">
        <v>150</v>
      </c>
      <c r="I27" s="24">
        <v>92</v>
      </c>
      <c r="J27" s="3">
        <v>107</v>
      </c>
      <c r="K27" s="24">
        <f t="shared" si="0"/>
        <v>242</v>
      </c>
      <c r="L27" s="24">
        <v>30000</v>
      </c>
      <c r="M27" s="3">
        <v>42000</v>
      </c>
      <c r="N27" s="3">
        <v>100</v>
      </c>
      <c r="P27" s="3" t="s">
        <v>62</v>
      </c>
      <c r="R27" s="24"/>
      <c r="V27" s="24"/>
    </row>
    <row r="28" spans="1:22" s="3" customFormat="1" x14ac:dyDescent="0.25">
      <c r="A28" s="3" t="s">
        <v>28</v>
      </c>
      <c r="B28" s="25" t="s">
        <v>30</v>
      </c>
      <c r="C28" s="25">
        <v>3000</v>
      </c>
      <c r="D28" s="23">
        <v>110</v>
      </c>
      <c r="E28" s="3">
        <v>0.2</v>
      </c>
      <c r="F28" s="3">
        <v>50</v>
      </c>
      <c r="G28" s="3">
        <v>25</v>
      </c>
      <c r="H28" s="3">
        <v>150</v>
      </c>
      <c r="I28" s="3">
        <v>102</v>
      </c>
      <c r="J28" s="24">
        <v>117</v>
      </c>
      <c r="K28" s="24">
        <f t="shared" si="0"/>
        <v>252</v>
      </c>
      <c r="L28" s="24">
        <v>30000</v>
      </c>
      <c r="M28" s="3">
        <v>42000</v>
      </c>
      <c r="N28" s="3">
        <v>100</v>
      </c>
      <c r="P28" s="3" t="s">
        <v>63</v>
      </c>
      <c r="R28" s="24"/>
      <c r="V28" s="24"/>
    </row>
    <row r="29" spans="1:22" s="3" customFormat="1" x14ac:dyDescent="0.25">
      <c r="A29" s="3" t="s">
        <v>28</v>
      </c>
      <c r="B29" s="25" t="s">
        <v>30</v>
      </c>
      <c r="C29" s="25">
        <v>3000</v>
      </c>
      <c r="D29" s="23">
        <v>120</v>
      </c>
      <c r="E29" s="3">
        <v>0.2</v>
      </c>
      <c r="F29" s="3">
        <v>50</v>
      </c>
      <c r="G29" s="3">
        <v>25</v>
      </c>
      <c r="H29" s="3">
        <v>150</v>
      </c>
      <c r="I29" s="3">
        <v>112</v>
      </c>
      <c r="J29" s="24">
        <v>127</v>
      </c>
      <c r="K29" s="24">
        <f t="shared" si="0"/>
        <v>262</v>
      </c>
      <c r="L29" s="24">
        <v>30000</v>
      </c>
      <c r="M29" s="3">
        <v>42000</v>
      </c>
      <c r="N29" s="3">
        <v>100</v>
      </c>
      <c r="P29" s="3" t="s">
        <v>64</v>
      </c>
      <c r="R29" s="24"/>
      <c r="V29" s="24"/>
    </row>
    <row r="30" spans="1:22" s="3" customFormat="1" x14ac:dyDescent="0.25">
      <c r="A30" s="3" t="s">
        <v>28</v>
      </c>
      <c r="B30" s="25" t="s">
        <v>30</v>
      </c>
      <c r="C30" s="25">
        <v>3000</v>
      </c>
      <c r="D30" s="23">
        <v>130</v>
      </c>
      <c r="E30" s="3">
        <v>0.2</v>
      </c>
      <c r="F30" s="3">
        <v>50</v>
      </c>
      <c r="G30" s="3">
        <v>25</v>
      </c>
      <c r="H30" s="3">
        <v>150</v>
      </c>
      <c r="I30" s="3">
        <v>122</v>
      </c>
      <c r="J30" s="24">
        <v>137</v>
      </c>
      <c r="K30" s="24">
        <f t="shared" si="0"/>
        <v>272</v>
      </c>
      <c r="L30" s="24">
        <v>30000</v>
      </c>
      <c r="M30" s="3">
        <v>42000</v>
      </c>
      <c r="N30" s="3">
        <v>100</v>
      </c>
      <c r="P30" s="3" t="s">
        <v>65</v>
      </c>
      <c r="R30" s="24"/>
      <c r="V30" s="24"/>
    </row>
    <row r="31" spans="1:22" s="3" customFormat="1" x14ac:dyDescent="0.25">
      <c r="A31" s="3" t="s">
        <v>28</v>
      </c>
      <c r="B31" s="25" t="s">
        <v>30</v>
      </c>
      <c r="C31" s="25">
        <v>3000</v>
      </c>
      <c r="D31" s="23">
        <v>140</v>
      </c>
      <c r="E31" s="3">
        <v>0.2</v>
      </c>
      <c r="F31" s="3">
        <v>50</v>
      </c>
      <c r="G31" s="3">
        <v>25</v>
      </c>
      <c r="H31" s="3">
        <v>150</v>
      </c>
      <c r="I31" s="3">
        <v>132</v>
      </c>
      <c r="J31" s="24">
        <v>147</v>
      </c>
      <c r="K31" s="24">
        <f t="shared" si="0"/>
        <v>282</v>
      </c>
      <c r="L31" s="24">
        <v>30000</v>
      </c>
      <c r="M31" s="3">
        <v>42000</v>
      </c>
      <c r="N31" s="3">
        <v>100</v>
      </c>
      <c r="P31" s="3" t="s">
        <v>66</v>
      </c>
      <c r="R31" s="24"/>
      <c r="V31" s="24"/>
    </row>
    <row r="32" spans="1:22" s="3" customFormat="1" x14ac:dyDescent="0.25">
      <c r="A32" s="3" t="s">
        <v>28</v>
      </c>
      <c r="B32" s="25" t="s">
        <v>30</v>
      </c>
      <c r="C32" s="25">
        <v>3000</v>
      </c>
      <c r="D32" s="23">
        <v>150</v>
      </c>
      <c r="E32" s="3">
        <v>0.2</v>
      </c>
      <c r="F32" s="3">
        <v>50</v>
      </c>
      <c r="G32" s="3">
        <v>25</v>
      </c>
      <c r="H32" s="3">
        <v>150</v>
      </c>
      <c r="I32" s="3">
        <v>142</v>
      </c>
      <c r="J32" s="24">
        <v>157</v>
      </c>
      <c r="K32" s="24">
        <f t="shared" si="0"/>
        <v>292</v>
      </c>
      <c r="L32" s="24">
        <v>30000</v>
      </c>
      <c r="M32" s="3">
        <v>42000</v>
      </c>
      <c r="N32" s="3">
        <v>100</v>
      </c>
      <c r="P32" s="3" t="s">
        <v>67</v>
      </c>
      <c r="R32" s="24"/>
      <c r="V32" s="24"/>
    </row>
    <row r="33" spans="1:22" s="3" customFormat="1" x14ac:dyDescent="0.25">
      <c r="A33" s="3" t="s">
        <v>28</v>
      </c>
      <c r="B33" s="25" t="s">
        <v>30</v>
      </c>
      <c r="C33" s="25">
        <v>3000</v>
      </c>
      <c r="D33" s="23">
        <v>160</v>
      </c>
      <c r="E33" s="3">
        <v>0.2</v>
      </c>
      <c r="F33" s="3">
        <v>50</v>
      </c>
      <c r="G33" s="3">
        <v>25</v>
      </c>
      <c r="H33" s="3">
        <v>150</v>
      </c>
      <c r="I33" s="3">
        <v>152</v>
      </c>
      <c r="J33" s="24">
        <v>167</v>
      </c>
      <c r="K33" s="24">
        <f t="shared" si="0"/>
        <v>302</v>
      </c>
      <c r="L33" s="24">
        <v>30000</v>
      </c>
      <c r="M33" s="3">
        <v>42000</v>
      </c>
      <c r="N33" s="3">
        <v>100</v>
      </c>
      <c r="P33" s="3" t="s">
        <v>68</v>
      </c>
      <c r="R33" s="24"/>
      <c r="V33" s="24"/>
    </row>
    <row r="34" spans="1:22" s="25" customFormat="1" x14ac:dyDescent="0.25">
      <c r="A34" s="25" t="s">
        <v>28</v>
      </c>
      <c r="B34" s="25" t="s">
        <v>31</v>
      </c>
      <c r="C34" s="25">
        <v>5000</v>
      </c>
      <c r="D34" s="26">
        <v>10</v>
      </c>
      <c r="E34" s="25">
        <f>AVERAGE(0.15,0.12)</f>
        <v>0.13500000000000001</v>
      </c>
      <c r="F34" s="25">
        <v>65</v>
      </c>
      <c r="G34" s="25">
        <v>25</v>
      </c>
      <c r="H34" s="25">
        <v>150</v>
      </c>
      <c r="I34" s="25">
        <v>6</v>
      </c>
      <c r="J34" s="27">
        <v>17</v>
      </c>
      <c r="K34" s="27">
        <f>K18+25</f>
        <v>177</v>
      </c>
      <c r="L34" s="27">
        <v>50000</v>
      </c>
      <c r="M34" s="27">
        <v>74000</v>
      </c>
      <c r="N34" s="27">
        <v>125</v>
      </c>
      <c r="P34" s="25" t="s">
        <v>69</v>
      </c>
      <c r="R34" s="27"/>
      <c r="V34" s="27"/>
    </row>
    <row r="35" spans="1:22" s="25" customFormat="1" x14ac:dyDescent="0.25">
      <c r="A35" s="25" t="s">
        <v>28</v>
      </c>
      <c r="B35" s="25" t="s">
        <v>31</v>
      </c>
      <c r="C35" s="25">
        <v>5000</v>
      </c>
      <c r="D35" s="26">
        <v>20</v>
      </c>
      <c r="E35" s="25">
        <f t="shared" ref="E35:E49" si="1">AVERAGE(0.15,0.12)</f>
        <v>0.13500000000000001</v>
      </c>
      <c r="F35" s="25">
        <v>65</v>
      </c>
      <c r="G35" s="25">
        <v>25</v>
      </c>
      <c r="H35" s="25">
        <v>150</v>
      </c>
      <c r="I35" s="25">
        <v>12</v>
      </c>
      <c r="J35" s="27">
        <v>27</v>
      </c>
      <c r="K35" s="27">
        <f t="shared" ref="K35:K49" si="2">K19+25</f>
        <v>187</v>
      </c>
      <c r="L35" s="27">
        <v>50000</v>
      </c>
      <c r="M35" s="27">
        <v>74000</v>
      </c>
      <c r="N35" s="27">
        <v>125</v>
      </c>
      <c r="P35" s="25" t="s">
        <v>70</v>
      </c>
      <c r="R35" s="27"/>
      <c r="V35" s="27"/>
    </row>
    <row r="36" spans="1:22" s="25" customFormat="1" x14ac:dyDescent="0.25">
      <c r="A36" s="25" t="s">
        <v>28</v>
      </c>
      <c r="B36" s="25" t="s">
        <v>31</v>
      </c>
      <c r="C36" s="25">
        <v>5000</v>
      </c>
      <c r="D36" s="26">
        <v>30</v>
      </c>
      <c r="E36" s="25">
        <f t="shared" si="1"/>
        <v>0.13500000000000001</v>
      </c>
      <c r="F36" s="25">
        <v>65</v>
      </c>
      <c r="G36" s="25">
        <v>25</v>
      </c>
      <c r="H36" s="25">
        <v>150</v>
      </c>
      <c r="I36" s="25">
        <v>22</v>
      </c>
      <c r="J36" s="27">
        <v>37</v>
      </c>
      <c r="K36" s="27">
        <f t="shared" si="2"/>
        <v>197</v>
      </c>
      <c r="L36" s="27">
        <v>50000</v>
      </c>
      <c r="M36" s="27">
        <v>74000</v>
      </c>
      <c r="N36" s="27">
        <v>125</v>
      </c>
      <c r="P36" s="25" t="s">
        <v>71</v>
      </c>
      <c r="R36" s="27"/>
      <c r="V36" s="27"/>
    </row>
    <row r="37" spans="1:22" s="25" customFormat="1" x14ac:dyDescent="0.25">
      <c r="A37" s="25" t="s">
        <v>28</v>
      </c>
      <c r="B37" s="25" t="s">
        <v>31</v>
      </c>
      <c r="C37" s="25">
        <v>5000</v>
      </c>
      <c r="D37" s="26">
        <v>40</v>
      </c>
      <c r="E37" s="25">
        <f t="shared" si="1"/>
        <v>0.13500000000000001</v>
      </c>
      <c r="F37" s="25">
        <v>65</v>
      </c>
      <c r="G37" s="25">
        <v>25</v>
      </c>
      <c r="H37" s="25">
        <v>150</v>
      </c>
      <c r="I37" s="25">
        <v>32</v>
      </c>
      <c r="J37" s="27">
        <v>47</v>
      </c>
      <c r="K37" s="27">
        <f t="shared" si="2"/>
        <v>207</v>
      </c>
      <c r="L37" s="27">
        <v>50000</v>
      </c>
      <c r="M37" s="27">
        <v>74000</v>
      </c>
      <c r="N37" s="27">
        <v>125</v>
      </c>
      <c r="P37" s="25" t="s">
        <v>72</v>
      </c>
      <c r="R37" s="27"/>
      <c r="V37" s="27"/>
    </row>
    <row r="38" spans="1:22" s="25" customFormat="1" x14ac:dyDescent="0.25">
      <c r="A38" s="25" t="s">
        <v>28</v>
      </c>
      <c r="B38" s="25" t="s">
        <v>31</v>
      </c>
      <c r="C38" s="25">
        <v>5000</v>
      </c>
      <c r="D38" s="26">
        <v>50</v>
      </c>
      <c r="E38" s="25">
        <f t="shared" si="1"/>
        <v>0.13500000000000001</v>
      </c>
      <c r="F38" s="25">
        <v>65</v>
      </c>
      <c r="G38" s="25">
        <v>25</v>
      </c>
      <c r="H38" s="25">
        <v>150</v>
      </c>
      <c r="I38" s="25">
        <v>42</v>
      </c>
      <c r="J38" s="27">
        <v>57</v>
      </c>
      <c r="K38" s="27">
        <f t="shared" si="2"/>
        <v>217</v>
      </c>
      <c r="L38" s="27">
        <v>50000</v>
      </c>
      <c r="M38" s="27">
        <v>74000</v>
      </c>
      <c r="N38" s="27">
        <v>125</v>
      </c>
      <c r="P38" s="25" t="s">
        <v>73</v>
      </c>
      <c r="R38" s="27"/>
      <c r="V38" s="27"/>
    </row>
    <row r="39" spans="1:22" s="25" customFormat="1" x14ac:dyDescent="0.25">
      <c r="A39" s="25" t="s">
        <v>28</v>
      </c>
      <c r="B39" s="25" t="s">
        <v>31</v>
      </c>
      <c r="C39" s="25">
        <v>5000</v>
      </c>
      <c r="D39" s="26">
        <v>60</v>
      </c>
      <c r="E39" s="25">
        <f t="shared" si="1"/>
        <v>0.13500000000000001</v>
      </c>
      <c r="F39" s="25">
        <v>65</v>
      </c>
      <c r="G39" s="25">
        <v>25</v>
      </c>
      <c r="H39" s="25">
        <v>150</v>
      </c>
      <c r="I39" s="25">
        <v>52</v>
      </c>
      <c r="J39" s="27">
        <v>67</v>
      </c>
      <c r="K39" s="27">
        <f t="shared" si="2"/>
        <v>227</v>
      </c>
      <c r="L39" s="27">
        <v>50000</v>
      </c>
      <c r="M39" s="27">
        <v>74000</v>
      </c>
      <c r="N39" s="27">
        <v>125</v>
      </c>
      <c r="P39" s="25" t="s">
        <v>74</v>
      </c>
      <c r="R39" s="27"/>
      <c r="V39" s="27"/>
    </row>
    <row r="40" spans="1:22" s="25" customFormat="1" x14ac:dyDescent="0.25">
      <c r="A40" s="25" t="s">
        <v>28</v>
      </c>
      <c r="B40" s="25" t="s">
        <v>31</v>
      </c>
      <c r="C40" s="25">
        <v>5000</v>
      </c>
      <c r="D40" s="26">
        <v>70</v>
      </c>
      <c r="E40" s="25">
        <f t="shared" si="1"/>
        <v>0.13500000000000001</v>
      </c>
      <c r="F40" s="25">
        <v>65</v>
      </c>
      <c r="G40" s="25">
        <v>25</v>
      </c>
      <c r="H40" s="25">
        <v>150</v>
      </c>
      <c r="I40" s="27">
        <v>62</v>
      </c>
      <c r="J40" s="25">
        <v>77</v>
      </c>
      <c r="K40" s="27">
        <f t="shared" si="2"/>
        <v>237</v>
      </c>
      <c r="L40" s="27">
        <v>50000</v>
      </c>
      <c r="M40" s="27">
        <v>74000</v>
      </c>
      <c r="N40" s="27">
        <v>125</v>
      </c>
      <c r="P40" s="25" t="s">
        <v>75</v>
      </c>
      <c r="R40" s="27"/>
      <c r="V40" s="27"/>
    </row>
    <row r="41" spans="1:22" s="25" customFormat="1" x14ac:dyDescent="0.25">
      <c r="A41" s="25" t="s">
        <v>28</v>
      </c>
      <c r="B41" s="25" t="s">
        <v>31</v>
      </c>
      <c r="C41" s="25">
        <v>5000</v>
      </c>
      <c r="D41" s="26">
        <v>80</v>
      </c>
      <c r="E41" s="25">
        <f t="shared" si="1"/>
        <v>0.13500000000000001</v>
      </c>
      <c r="F41" s="25">
        <v>65</v>
      </c>
      <c r="G41" s="25">
        <v>25</v>
      </c>
      <c r="H41" s="25">
        <v>150</v>
      </c>
      <c r="I41" s="27">
        <v>72</v>
      </c>
      <c r="J41" s="25">
        <v>87</v>
      </c>
      <c r="K41" s="27">
        <f t="shared" si="2"/>
        <v>247</v>
      </c>
      <c r="L41" s="27">
        <v>50000</v>
      </c>
      <c r="M41" s="27">
        <v>74000</v>
      </c>
      <c r="N41" s="27">
        <v>125</v>
      </c>
      <c r="P41" s="25" t="s">
        <v>76</v>
      </c>
      <c r="R41" s="27"/>
      <c r="V41" s="27"/>
    </row>
    <row r="42" spans="1:22" s="25" customFormat="1" x14ac:dyDescent="0.25">
      <c r="A42" s="25" t="s">
        <v>28</v>
      </c>
      <c r="B42" s="25" t="s">
        <v>31</v>
      </c>
      <c r="C42" s="25">
        <v>5000</v>
      </c>
      <c r="D42" s="26">
        <v>90</v>
      </c>
      <c r="E42" s="25">
        <f t="shared" si="1"/>
        <v>0.13500000000000001</v>
      </c>
      <c r="F42" s="25">
        <v>65</v>
      </c>
      <c r="G42" s="25">
        <v>25</v>
      </c>
      <c r="H42" s="25">
        <v>150</v>
      </c>
      <c r="I42" s="27">
        <v>82</v>
      </c>
      <c r="J42" s="25">
        <v>97</v>
      </c>
      <c r="K42" s="27">
        <f t="shared" si="2"/>
        <v>257</v>
      </c>
      <c r="L42" s="27">
        <v>50000</v>
      </c>
      <c r="M42" s="27">
        <v>74000</v>
      </c>
      <c r="N42" s="27">
        <v>125</v>
      </c>
      <c r="P42" s="25" t="s">
        <v>77</v>
      </c>
      <c r="R42" s="27"/>
      <c r="V42" s="27"/>
    </row>
    <row r="43" spans="1:22" s="25" customFormat="1" x14ac:dyDescent="0.25">
      <c r="A43" s="25" t="s">
        <v>28</v>
      </c>
      <c r="B43" s="25" t="s">
        <v>31</v>
      </c>
      <c r="C43" s="25">
        <v>5000</v>
      </c>
      <c r="D43" s="26">
        <v>100</v>
      </c>
      <c r="E43" s="25">
        <f t="shared" si="1"/>
        <v>0.13500000000000001</v>
      </c>
      <c r="F43" s="25">
        <v>65</v>
      </c>
      <c r="G43" s="25">
        <v>25</v>
      </c>
      <c r="H43" s="25">
        <v>150</v>
      </c>
      <c r="I43" s="27">
        <v>92</v>
      </c>
      <c r="J43" s="25">
        <v>107</v>
      </c>
      <c r="K43" s="27">
        <f t="shared" si="2"/>
        <v>267</v>
      </c>
      <c r="L43" s="27">
        <v>50000</v>
      </c>
      <c r="M43" s="27">
        <v>74000</v>
      </c>
      <c r="N43" s="27">
        <v>125</v>
      </c>
      <c r="P43" s="25" t="s">
        <v>78</v>
      </c>
      <c r="R43" s="27"/>
      <c r="V43" s="27"/>
    </row>
    <row r="44" spans="1:22" s="25" customFormat="1" x14ac:dyDescent="0.25">
      <c r="A44" s="25" t="s">
        <v>28</v>
      </c>
      <c r="B44" s="25" t="s">
        <v>31</v>
      </c>
      <c r="C44" s="25">
        <v>5000</v>
      </c>
      <c r="D44" s="26">
        <v>110</v>
      </c>
      <c r="E44" s="25">
        <f t="shared" si="1"/>
        <v>0.13500000000000001</v>
      </c>
      <c r="F44" s="25">
        <v>65</v>
      </c>
      <c r="G44" s="25">
        <v>25</v>
      </c>
      <c r="H44" s="25">
        <v>150</v>
      </c>
      <c r="I44" s="25">
        <v>102</v>
      </c>
      <c r="J44" s="27">
        <v>117</v>
      </c>
      <c r="K44" s="27">
        <f t="shared" si="2"/>
        <v>277</v>
      </c>
      <c r="L44" s="27">
        <v>50000</v>
      </c>
      <c r="M44" s="27">
        <v>74000</v>
      </c>
      <c r="N44" s="27">
        <v>125</v>
      </c>
      <c r="P44" s="25" t="s">
        <v>79</v>
      </c>
      <c r="R44" s="27"/>
      <c r="V44" s="27"/>
    </row>
    <row r="45" spans="1:22" s="25" customFormat="1" x14ac:dyDescent="0.25">
      <c r="A45" s="25" t="s">
        <v>28</v>
      </c>
      <c r="B45" s="25" t="s">
        <v>31</v>
      </c>
      <c r="C45" s="25">
        <v>5000</v>
      </c>
      <c r="D45" s="26">
        <v>120</v>
      </c>
      <c r="E45" s="25">
        <f t="shared" si="1"/>
        <v>0.13500000000000001</v>
      </c>
      <c r="F45" s="25">
        <v>65</v>
      </c>
      <c r="G45" s="25">
        <v>25</v>
      </c>
      <c r="H45" s="25">
        <v>150</v>
      </c>
      <c r="I45" s="25">
        <v>112</v>
      </c>
      <c r="J45" s="27">
        <v>127</v>
      </c>
      <c r="K45" s="27">
        <f t="shared" si="2"/>
        <v>287</v>
      </c>
      <c r="L45" s="27">
        <v>50000</v>
      </c>
      <c r="M45" s="27">
        <v>74000</v>
      </c>
      <c r="N45" s="27">
        <v>125</v>
      </c>
      <c r="P45" s="25" t="s">
        <v>80</v>
      </c>
      <c r="R45" s="27"/>
      <c r="V45" s="27"/>
    </row>
    <row r="46" spans="1:22" s="25" customFormat="1" x14ac:dyDescent="0.25">
      <c r="A46" s="25" t="s">
        <v>28</v>
      </c>
      <c r="B46" s="25" t="s">
        <v>31</v>
      </c>
      <c r="C46" s="25">
        <v>5000</v>
      </c>
      <c r="D46" s="26">
        <v>130</v>
      </c>
      <c r="E46" s="25">
        <f t="shared" si="1"/>
        <v>0.13500000000000001</v>
      </c>
      <c r="F46" s="25">
        <v>65</v>
      </c>
      <c r="G46" s="25">
        <v>25</v>
      </c>
      <c r="H46" s="25">
        <v>150</v>
      </c>
      <c r="I46" s="25">
        <v>122</v>
      </c>
      <c r="J46" s="27">
        <v>137</v>
      </c>
      <c r="K46" s="27">
        <f t="shared" si="2"/>
        <v>297</v>
      </c>
      <c r="L46" s="27">
        <v>50000</v>
      </c>
      <c r="M46" s="27">
        <v>74000</v>
      </c>
      <c r="N46" s="27">
        <v>125</v>
      </c>
      <c r="P46" s="25" t="s">
        <v>81</v>
      </c>
      <c r="R46" s="27"/>
      <c r="V46" s="27"/>
    </row>
    <row r="47" spans="1:22" s="25" customFormat="1" x14ac:dyDescent="0.25">
      <c r="A47" s="25" t="s">
        <v>28</v>
      </c>
      <c r="B47" s="25" t="s">
        <v>31</v>
      </c>
      <c r="C47" s="25">
        <v>5000</v>
      </c>
      <c r="D47" s="26">
        <v>140</v>
      </c>
      <c r="E47" s="25">
        <f t="shared" si="1"/>
        <v>0.13500000000000001</v>
      </c>
      <c r="F47" s="25">
        <v>65</v>
      </c>
      <c r="G47" s="25">
        <v>25</v>
      </c>
      <c r="H47" s="25">
        <v>150</v>
      </c>
      <c r="I47" s="25">
        <v>132</v>
      </c>
      <c r="J47" s="27">
        <v>147</v>
      </c>
      <c r="K47" s="27">
        <f t="shared" si="2"/>
        <v>307</v>
      </c>
      <c r="L47" s="27">
        <v>50000</v>
      </c>
      <c r="M47" s="27">
        <v>74000</v>
      </c>
      <c r="N47" s="27">
        <v>125</v>
      </c>
      <c r="P47" s="25" t="s">
        <v>82</v>
      </c>
      <c r="R47" s="27"/>
      <c r="V47" s="27"/>
    </row>
    <row r="48" spans="1:22" s="25" customFormat="1" x14ac:dyDescent="0.25">
      <c r="A48" s="25" t="s">
        <v>28</v>
      </c>
      <c r="B48" s="25" t="s">
        <v>31</v>
      </c>
      <c r="C48" s="25">
        <v>5000</v>
      </c>
      <c r="D48" s="26">
        <v>150</v>
      </c>
      <c r="E48" s="25">
        <f t="shared" si="1"/>
        <v>0.13500000000000001</v>
      </c>
      <c r="F48" s="25">
        <v>65</v>
      </c>
      <c r="G48" s="25">
        <v>25</v>
      </c>
      <c r="H48" s="25">
        <v>150</v>
      </c>
      <c r="I48" s="25">
        <v>142</v>
      </c>
      <c r="J48" s="27">
        <v>157</v>
      </c>
      <c r="K48" s="27">
        <f t="shared" si="2"/>
        <v>317</v>
      </c>
      <c r="L48" s="27">
        <v>50000</v>
      </c>
      <c r="M48" s="27">
        <v>74000</v>
      </c>
      <c r="N48" s="27">
        <v>125</v>
      </c>
      <c r="P48" s="25" t="s">
        <v>83</v>
      </c>
      <c r="R48" s="27"/>
      <c r="V48" s="27"/>
    </row>
    <row r="49" spans="1:27" s="25" customFormat="1" x14ac:dyDescent="0.25">
      <c r="A49" s="25" t="s">
        <v>28</v>
      </c>
      <c r="B49" s="25" t="s">
        <v>31</v>
      </c>
      <c r="C49" s="25">
        <v>5000</v>
      </c>
      <c r="D49" s="26">
        <v>160</v>
      </c>
      <c r="E49" s="25">
        <f t="shared" si="1"/>
        <v>0.13500000000000001</v>
      </c>
      <c r="F49" s="25">
        <v>65</v>
      </c>
      <c r="G49" s="25">
        <v>25</v>
      </c>
      <c r="H49" s="25">
        <v>150</v>
      </c>
      <c r="I49" s="25">
        <v>152</v>
      </c>
      <c r="J49" s="27">
        <v>167</v>
      </c>
      <c r="K49" s="27">
        <f t="shared" si="2"/>
        <v>327</v>
      </c>
      <c r="L49" s="27">
        <v>50000</v>
      </c>
      <c r="M49" s="27">
        <v>74000</v>
      </c>
      <c r="N49" s="27">
        <v>125</v>
      </c>
      <c r="P49" s="25" t="s">
        <v>84</v>
      </c>
      <c r="R49" s="27"/>
      <c r="V49" s="27"/>
    </row>
    <row r="50" spans="1:27" s="3" customFormat="1" x14ac:dyDescent="0.25">
      <c r="A50" s="3" t="s">
        <v>28</v>
      </c>
      <c r="B50" s="25" t="s">
        <v>32</v>
      </c>
      <c r="C50" s="25">
        <v>7500</v>
      </c>
      <c r="D50" s="23">
        <v>10</v>
      </c>
      <c r="E50" s="3">
        <f>AVERAGE(0.13,0.08)</f>
        <v>0.10500000000000001</v>
      </c>
      <c r="F50" s="3">
        <v>80</v>
      </c>
      <c r="G50" s="3">
        <v>25</v>
      </c>
      <c r="H50" s="3">
        <v>150</v>
      </c>
      <c r="I50" s="3">
        <v>8</v>
      </c>
      <c r="J50" s="24">
        <v>17</v>
      </c>
      <c r="K50" s="24">
        <f>K34+20</f>
        <v>197</v>
      </c>
      <c r="L50" s="24">
        <v>75000</v>
      </c>
      <c r="M50" s="3">
        <v>98000</v>
      </c>
      <c r="N50" s="3">
        <v>160</v>
      </c>
      <c r="P50" s="3" t="s">
        <v>85</v>
      </c>
      <c r="R50" s="24"/>
      <c r="V50" s="24"/>
    </row>
    <row r="51" spans="1:27" s="3" customFormat="1" x14ac:dyDescent="0.25">
      <c r="A51" s="3" t="s">
        <v>28</v>
      </c>
      <c r="B51" s="25" t="s">
        <v>32</v>
      </c>
      <c r="C51" s="25">
        <v>7500</v>
      </c>
      <c r="D51" s="23">
        <v>20</v>
      </c>
      <c r="E51" s="3">
        <f t="shared" ref="E51:E65" si="3">AVERAGE(0.13,0.08)</f>
        <v>0.10500000000000001</v>
      </c>
      <c r="F51" s="3">
        <v>80</v>
      </c>
      <c r="G51" s="3">
        <v>25</v>
      </c>
      <c r="H51" s="3">
        <v>150</v>
      </c>
      <c r="I51" s="3">
        <v>12</v>
      </c>
      <c r="J51" s="24">
        <v>27</v>
      </c>
      <c r="K51" s="24">
        <f t="shared" ref="K51:K65" si="4">K35+20</f>
        <v>207</v>
      </c>
      <c r="L51" s="24">
        <v>75000</v>
      </c>
      <c r="M51" s="3">
        <v>98000</v>
      </c>
      <c r="N51" s="3">
        <v>160</v>
      </c>
      <c r="P51" s="3" t="s">
        <v>86</v>
      </c>
      <c r="R51" s="24"/>
      <c r="V51" s="24"/>
    </row>
    <row r="52" spans="1:27" s="3" customFormat="1" x14ac:dyDescent="0.25">
      <c r="A52" s="3" t="s">
        <v>28</v>
      </c>
      <c r="B52" s="25" t="s">
        <v>32</v>
      </c>
      <c r="C52" s="25">
        <v>7500</v>
      </c>
      <c r="D52" s="23">
        <v>30</v>
      </c>
      <c r="E52" s="3">
        <f t="shared" si="3"/>
        <v>0.10500000000000001</v>
      </c>
      <c r="F52" s="3">
        <v>80</v>
      </c>
      <c r="G52" s="3">
        <v>25</v>
      </c>
      <c r="H52" s="3">
        <v>150</v>
      </c>
      <c r="I52" s="3">
        <v>22</v>
      </c>
      <c r="J52" s="24">
        <v>37</v>
      </c>
      <c r="K52" s="24">
        <f t="shared" si="4"/>
        <v>217</v>
      </c>
      <c r="L52" s="24">
        <v>75000</v>
      </c>
      <c r="M52" s="3">
        <v>98000</v>
      </c>
      <c r="N52" s="3">
        <v>160</v>
      </c>
      <c r="P52" s="3" t="s">
        <v>87</v>
      </c>
      <c r="R52" s="24"/>
      <c r="V52" s="24"/>
    </row>
    <row r="53" spans="1:27" s="3" customFormat="1" x14ac:dyDescent="0.25">
      <c r="A53" s="3" t="s">
        <v>28</v>
      </c>
      <c r="B53" s="25" t="s">
        <v>32</v>
      </c>
      <c r="C53" s="25">
        <v>7500</v>
      </c>
      <c r="D53" s="23">
        <v>40</v>
      </c>
      <c r="E53" s="3">
        <f t="shared" si="3"/>
        <v>0.10500000000000001</v>
      </c>
      <c r="F53" s="3">
        <v>80</v>
      </c>
      <c r="G53" s="3">
        <v>25</v>
      </c>
      <c r="H53" s="3">
        <v>150</v>
      </c>
      <c r="I53" s="3">
        <v>32</v>
      </c>
      <c r="J53" s="24">
        <v>47</v>
      </c>
      <c r="K53" s="24">
        <f t="shared" si="4"/>
        <v>227</v>
      </c>
      <c r="L53" s="24">
        <v>75000</v>
      </c>
      <c r="M53" s="3">
        <v>98000</v>
      </c>
      <c r="N53" s="3">
        <v>160</v>
      </c>
      <c r="P53" s="3" t="s">
        <v>88</v>
      </c>
      <c r="R53" s="24"/>
      <c r="V53" s="24"/>
    </row>
    <row r="54" spans="1:27" s="3" customFormat="1" x14ac:dyDescent="0.25">
      <c r="A54" s="3" t="s">
        <v>28</v>
      </c>
      <c r="B54" s="25" t="s">
        <v>32</v>
      </c>
      <c r="C54" s="25">
        <v>7500</v>
      </c>
      <c r="D54" s="23">
        <v>50</v>
      </c>
      <c r="E54" s="3">
        <f t="shared" si="3"/>
        <v>0.10500000000000001</v>
      </c>
      <c r="F54" s="3">
        <v>80</v>
      </c>
      <c r="G54" s="3">
        <v>25</v>
      </c>
      <c r="H54" s="3">
        <v>150</v>
      </c>
      <c r="I54" s="3">
        <v>42</v>
      </c>
      <c r="J54" s="24">
        <v>57</v>
      </c>
      <c r="K54" s="24">
        <f t="shared" si="4"/>
        <v>237</v>
      </c>
      <c r="L54" s="24">
        <v>75000</v>
      </c>
      <c r="M54" s="3">
        <v>98000</v>
      </c>
      <c r="N54" s="3">
        <v>160</v>
      </c>
      <c r="P54" s="3" t="s">
        <v>89</v>
      </c>
      <c r="R54" s="24"/>
      <c r="V54" s="24"/>
    </row>
    <row r="55" spans="1:27" s="3" customFormat="1" x14ac:dyDescent="0.25">
      <c r="A55" s="3" t="s">
        <v>28</v>
      </c>
      <c r="B55" s="25" t="s">
        <v>32</v>
      </c>
      <c r="C55" s="25">
        <v>7500</v>
      </c>
      <c r="D55" s="23">
        <v>60</v>
      </c>
      <c r="E55" s="3">
        <f t="shared" si="3"/>
        <v>0.10500000000000001</v>
      </c>
      <c r="F55" s="3">
        <v>80</v>
      </c>
      <c r="G55" s="3">
        <v>25</v>
      </c>
      <c r="H55" s="3">
        <v>150</v>
      </c>
      <c r="I55" s="3">
        <v>52</v>
      </c>
      <c r="J55" s="24">
        <v>67</v>
      </c>
      <c r="K55" s="24">
        <f t="shared" si="4"/>
        <v>247</v>
      </c>
      <c r="L55" s="24">
        <v>75000</v>
      </c>
      <c r="M55" s="3">
        <v>98000</v>
      </c>
      <c r="N55" s="3">
        <v>160</v>
      </c>
      <c r="P55" s="3" t="s">
        <v>90</v>
      </c>
      <c r="R55" s="24"/>
      <c r="V55" s="24"/>
    </row>
    <row r="56" spans="1:27" s="3" customFormat="1" x14ac:dyDescent="0.25">
      <c r="A56" s="3" t="s">
        <v>28</v>
      </c>
      <c r="B56" s="25" t="s">
        <v>32</v>
      </c>
      <c r="C56" s="25">
        <v>7500</v>
      </c>
      <c r="D56" s="23">
        <v>70</v>
      </c>
      <c r="E56" s="3">
        <f t="shared" si="3"/>
        <v>0.10500000000000001</v>
      </c>
      <c r="F56" s="3">
        <v>80</v>
      </c>
      <c r="G56" s="3">
        <v>25</v>
      </c>
      <c r="H56" s="3">
        <v>150</v>
      </c>
      <c r="I56" s="24">
        <v>62</v>
      </c>
      <c r="J56" s="3">
        <v>77</v>
      </c>
      <c r="K56" s="24">
        <f t="shared" si="4"/>
        <v>257</v>
      </c>
      <c r="L56" s="24">
        <v>75000</v>
      </c>
      <c r="M56" s="3">
        <v>98000</v>
      </c>
      <c r="N56" s="3">
        <v>160</v>
      </c>
      <c r="P56" s="3" t="s">
        <v>91</v>
      </c>
      <c r="R56" s="24"/>
      <c r="V56" s="24"/>
    </row>
    <row r="57" spans="1:27" s="3" customFormat="1" x14ac:dyDescent="0.25">
      <c r="A57" s="3" t="s">
        <v>28</v>
      </c>
      <c r="B57" s="25" t="s">
        <v>32</v>
      </c>
      <c r="C57" s="25">
        <v>7500</v>
      </c>
      <c r="D57" s="23">
        <v>80</v>
      </c>
      <c r="E57" s="3">
        <f t="shared" si="3"/>
        <v>0.10500000000000001</v>
      </c>
      <c r="F57" s="3">
        <v>80</v>
      </c>
      <c r="G57" s="3">
        <v>25</v>
      </c>
      <c r="H57" s="3">
        <v>150</v>
      </c>
      <c r="I57" s="24">
        <v>72</v>
      </c>
      <c r="J57" s="3">
        <v>87</v>
      </c>
      <c r="K57" s="24">
        <f t="shared" si="4"/>
        <v>267</v>
      </c>
      <c r="L57" s="24">
        <v>75000</v>
      </c>
      <c r="M57" s="3">
        <v>98000</v>
      </c>
      <c r="N57" s="3">
        <v>160</v>
      </c>
      <c r="P57" s="3" t="s">
        <v>92</v>
      </c>
      <c r="R57" s="24"/>
      <c r="V57" s="24"/>
    </row>
    <row r="58" spans="1:27" s="3" customFormat="1" x14ac:dyDescent="0.25">
      <c r="A58" s="3" t="s">
        <v>28</v>
      </c>
      <c r="B58" s="25" t="s">
        <v>32</v>
      </c>
      <c r="C58" s="25">
        <v>7500</v>
      </c>
      <c r="D58" s="23">
        <v>90</v>
      </c>
      <c r="E58" s="3">
        <f t="shared" si="3"/>
        <v>0.10500000000000001</v>
      </c>
      <c r="F58" s="3">
        <v>80</v>
      </c>
      <c r="G58" s="3">
        <v>25</v>
      </c>
      <c r="H58" s="3">
        <v>150</v>
      </c>
      <c r="I58" s="24">
        <v>82</v>
      </c>
      <c r="J58" s="3">
        <v>97</v>
      </c>
      <c r="K58" s="24">
        <f t="shared" si="4"/>
        <v>277</v>
      </c>
      <c r="L58" s="24">
        <v>75000</v>
      </c>
      <c r="M58" s="3">
        <v>98000</v>
      </c>
      <c r="N58" s="3">
        <v>160</v>
      </c>
      <c r="P58" s="3" t="s">
        <v>93</v>
      </c>
      <c r="R58" s="24"/>
      <c r="V58" s="24"/>
    </row>
    <row r="59" spans="1:27" s="3" customFormat="1" x14ac:dyDescent="0.25">
      <c r="A59" s="3" t="s">
        <v>28</v>
      </c>
      <c r="B59" s="25" t="s">
        <v>32</v>
      </c>
      <c r="C59" s="25">
        <v>7500</v>
      </c>
      <c r="D59" s="23">
        <v>100</v>
      </c>
      <c r="E59" s="3">
        <f t="shared" si="3"/>
        <v>0.10500000000000001</v>
      </c>
      <c r="F59" s="3">
        <v>80</v>
      </c>
      <c r="G59" s="3">
        <v>25</v>
      </c>
      <c r="H59" s="3">
        <v>150</v>
      </c>
      <c r="I59" s="24">
        <v>92</v>
      </c>
      <c r="J59" s="3">
        <v>107</v>
      </c>
      <c r="K59" s="24">
        <f t="shared" si="4"/>
        <v>287</v>
      </c>
      <c r="L59" s="24">
        <v>75000</v>
      </c>
      <c r="M59" s="3">
        <v>98000</v>
      </c>
      <c r="N59" s="3">
        <v>160</v>
      </c>
      <c r="P59" s="3" t="s">
        <v>94</v>
      </c>
      <c r="R59" s="24"/>
      <c r="V59" s="24"/>
    </row>
    <row r="60" spans="1:27" s="3" customFormat="1" x14ac:dyDescent="0.25">
      <c r="A60" s="3" t="s">
        <v>28</v>
      </c>
      <c r="B60" s="25" t="s">
        <v>32</v>
      </c>
      <c r="C60" s="25">
        <v>7500</v>
      </c>
      <c r="D60" s="23">
        <v>110</v>
      </c>
      <c r="E60" s="3">
        <f t="shared" si="3"/>
        <v>0.10500000000000001</v>
      </c>
      <c r="F60" s="3">
        <v>80</v>
      </c>
      <c r="G60" s="3">
        <v>25</v>
      </c>
      <c r="H60" s="3">
        <v>150</v>
      </c>
      <c r="I60" s="3">
        <v>102</v>
      </c>
      <c r="J60" s="24">
        <v>117</v>
      </c>
      <c r="K60" s="24">
        <f t="shared" si="4"/>
        <v>297</v>
      </c>
      <c r="L60" s="24">
        <v>75000</v>
      </c>
      <c r="M60" s="3">
        <v>98000</v>
      </c>
      <c r="N60" s="3">
        <v>160</v>
      </c>
      <c r="P60" s="3" t="s">
        <v>95</v>
      </c>
      <c r="R60" s="24"/>
      <c r="V60" s="24"/>
    </row>
    <row r="61" spans="1:27" s="3" customFormat="1" x14ac:dyDescent="0.25">
      <c r="A61" s="3" t="s">
        <v>28</v>
      </c>
      <c r="B61" s="25" t="s">
        <v>32</v>
      </c>
      <c r="C61" s="25">
        <v>7500</v>
      </c>
      <c r="D61" s="23">
        <v>120</v>
      </c>
      <c r="E61" s="3">
        <f t="shared" si="3"/>
        <v>0.10500000000000001</v>
      </c>
      <c r="F61" s="3">
        <v>80</v>
      </c>
      <c r="G61" s="3">
        <v>25</v>
      </c>
      <c r="H61" s="3">
        <v>150</v>
      </c>
      <c r="I61" s="3">
        <v>112</v>
      </c>
      <c r="J61" s="24">
        <v>127</v>
      </c>
      <c r="K61" s="24">
        <f t="shared" si="4"/>
        <v>307</v>
      </c>
      <c r="L61" s="24">
        <v>75000</v>
      </c>
      <c r="M61" s="3">
        <v>98000</v>
      </c>
      <c r="N61" s="3">
        <v>160</v>
      </c>
      <c r="P61" s="3" t="s">
        <v>96</v>
      </c>
      <c r="R61" s="24"/>
      <c r="V61" s="24"/>
    </row>
    <row r="62" spans="1:27" s="3" customFormat="1" x14ac:dyDescent="0.25">
      <c r="A62" s="3" t="s">
        <v>28</v>
      </c>
      <c r="B62" s="25" t="s">
        <v>32</v>
      </c>
      <c r="C62" s="25">
        <v>7500</v>
      </c>
      <c r="D62" s="23">
        <v>130</v>
      </c>
      <c r="E62" s="3">
        <f t="shared" si="3"/>
        <v>0.10500000000000001</v>
      </c>
      <c r="F62" s="3">
        <v>80</v>
      </c>
      <c r="G62" s="3">
        <v>25</v>
      </c>
      <c r="H62" s="3">
        <v>150</v>
      </c>
      <c r="I62" s="3">
        <v>122</v>
      </c>
      <c r="J62" s="24">
        <v>137</v>
      </c>
      <c r="K62" s="24">
        <f t="shared" si="4"/>
        <v>317</v>
      </c>
      <c r="L62" s="24">
        <v>75000</v>
      </c>
      <c r="M62" s="3">
        <v>98000</v>
      </c>
      <c r="N62" s="3">
        <v>160</v>
      </c>
      <c r="P62" s="3" t="s">
        <v>97</v>
      </c>
      <c r="R62" s="24"/>
      <c r="V62" s="24"/>
    </row>
    <row r="63" spans="1:27" s="3" customFormat="1" x14ac:dyDescent="0.25">
      <c r="A63" s="3" t="s">
        <v>28</v>
      </c>
      <c r="B63" s="25" t="s">
        <v>32</v>
      </c>
      <c r="C63" s="25">
        <v>7500</v>
      </c>
      <c r="D63" s="23">
        <v>140</v>
      </c>
      <c r="E63" s="3">
        <f t="shared" si="3"/>
        <v>0.10500000000000001</v>
      </c>
      <c r="F63" s="3">
        <v>80</v>
      </c>
      <c r="G63" s="3">
        <v>25</v>
      </c>
      <c r="H63" s="3">
        <v>150</v>
      </c>
      <c r="I63" s="3">
        <v>132</v>
      </c>
      <c r="J63" s="24">
        <v>147</v>
      </c>
      <c r="K63" s="24">
        <f t="shared" si="4"/>
        <v>327</v>
      </c>
      <c r="L63" s="24">
        <v>75000</v>
      </c>
      <c r="M63" s="3">
        <v>98000</v>
      </c>
      <c r="N63" s="3">
        <v>160</v>
      </c>
      <c r="P63" s="3" t="s">
        <v>98</v>
      </c>
      <c r="R63" s="24"/>
      <c r="V63" s="24"/>
    </row>
    <row r="64" spans="1:27" s="3" customFormat="1" x14ac:dyDescent="0.25">
      <c r="A64" s="3" t="s">
        <v>28</v>
      </c>
      <c r="B64" s="25" t="s">
        <v>32</v>
      </c>
      <c r="C64" s="25">
        <v>7500</v>
      </c>
      <c r="D64" s="23">
        <v>150</v>
      </c>
      <c r="E64" s="3">
        <f t="shared" si="3"/>
        <v>0.10500000000000001</v>
      </c>
      <c r="F64" s="3">
        <v>80</v>
      </c>
      <c r="G64" s="3">
        <v>25</v>
      </c>
      <c r="H64" s="3">
        <v>150</v>
      </c>
      <c r="I64" s="3">
        <v>142</v>
      </c>
      <c r="J64" s="24">
        <v>157</v>
      </c>
      <c r="K64" s="24">
        <f t="shared" si="4"/>
        <v>337</v>
      </c>
      <c r="L64" s="24">
        <v>75000</v>
      </c>
      <c r="M64" s="3">
        <v>98000</v>
      </c>
      <c r="N64" s="3">
        <v>160</v>
      </c>
      <c r="P64" s="3" t="s">
        <v>99</v>
      </c>
      <c r="R64" s="24"/>
      <c r="Z64" s="24"/>
      <c r="AA64" s="24"/>
    </row>
    <row r="65" spans="1:27" s="3" customFormat="1" x14ac:dyDescent="0.25">
      <c r="A65" s="3" t="s">
        <v>28</v>
      </c>
      <c r="B65" s="25" t="s">
        <v>32</v>
      </c>
      <c r="C65" s="25">
        <v>7500</v>
      </c>
      <c r="D65" s="23">
        <v>160</v>
      </c>
      <c r="E65" s="3">
        <f t="shared" si="3"/>
        <v>0.10500000000000001</v>
      </c>
      <c r="F65" s="3">
        <v>80</v>
      </c>
      <c r="G65" s="3">
        <v>25</v>
      </c>
      <c r="H65" s="3">
        <v>150</v>
      </c>
      <c r="I65" s="3">
        <v>152</v>
      </c>
      <c r="J65" s="24">
        <v>167</v>
      </c>
      <c r="K65" s="24">
        <f t="shared" si="4"/>
        <v>347</v>
      </c>
      <c r="L65" s="24">
        <v>75000</v>
      </c>
      <c r="M65" s="3">
        <v>98000</v>
      </c>
      <c r="N65" s="3">
        <v>160</v>
      </c>
      <c r="P65" s="3" t="s">
        <v>100</v>
      </c>
      <c r="R65" s="24"/>
      <c r="Z65" s="24"/>
      <c r="AA65" s="24"/>
    </row>
    <row r="66" spans="1:27" s="20" customFormat="1" x14ac:dyDescent="0.25">
      <c r="A66" s="20" t="s">
        <v>27</v>
      </c>
      <c r="B66" s="20" t="s">
        <v>33</v>
      </c>
      <c r="C66" s="20">
        <v>1500</v>
      </c>
      <c r="D66" s="158">
        <v>5</v>
      </c>
      <c r="E66" s="20">
        <v>0.2</v>
      </c>
      <c r="F66" s="20">
        <v>36</v>
      </c>
      <c r="G66" s="20">
        <v>25</v>
      </c>
      <c r="H66" s="20">
        <v>150</v>
      </c>
      <c r="I66" s="20">
        <f t="shared" ref="I66:I70" si="5">D66</f>
        <v>5</v>
      </c>
      <c r="J66" s="20">
        <f t="shared" ref="J66:J70" si="6">D66</f>
        <v>5</v>
      </c>
      <c r="K66" s="157">
        <f t="shared" ref="K66:K70" si="7">125+D66</f>
        <v>130</v>
      </c>
      <c r="L66" s="157">
        <v>15000</v>
      </c>
      <c r="M66" s="157">
        <v>22000</v>
      </c>
      <c r="N66" s="20">
        <v>80</v>
      </c>
      <c r="P66" s="20" t="s">
        <v>932</v>
      </c>
      <c r="R66" s="157"/>
      <c r="Z66" s="157"/>
      <c r="AA66" s="157"/>
    </row>
    <row r="67" spans="1:27" s="20" customFormat="1" x14ac:dyDescent="0.25">
      <c r="A67" s="20" t="s">
        <v>27</v>
      </c>
      <c r="B67" s="20" t="s">
        <v>33</v>
      </c>
      <c r="C67" s="20">
        <v>1500</v>
      </c>
      <c r="D67" s="158">
        <v>6</v>
      </c>
      <c r="E67" s="20">
        <v>0.2</v>
      </c>
      <c r="F67" s="20">
        <v>36</v>
      </c>
      <c r="G67" s="20">
        <v>25</v>
      </c>
      <c r="H67" s="20">
        <v>150</v>
      </c>
      <c r="I67" s="20">
        <f t="shared" si="5"/>
        <v>6</v>
      </c>
      <c r="J67" s="20">
        <f t="shared" si="6"/>
        <v>6</v>
      </c>
      <c r="K67" s="157">
        <f t="shared" si="7"/>
        <v>131</v>
      </c>
      <c r="L67" s="157">
        <v>15000</v>
      </c>
      <c r="M67" s="157">
        <v>22000</v>
      </c>
      <c r="N67" s="20">
        <v>80</v>
      </c>
      <c r="P67" s="20" t="s">
        <v>933</v>
      </c>
      <c r="R67" s="157"/>
      <c r="Z67" s="157"/>
      <c r="AA67" s="157"/>
    </row>
    <row r="68" spans="1:27" s="20" customFormat="1" x14ac:dyDescent="0.25">
      <c r="A68" s="20" t="s">
        <v>27</v>
      </c>
      <c r="B68" s="20" t="s">
        <v>33</v>
      </c>
      <c r="C68" s="20">
        <v>1500</v>
      </c>
      <c r="D68" s="20">
        <v>7</v>
      </c>
      <c r="E68" s="20">
        <v>0.2</v>
      </c>
      <c r="F68" s="20">
        <v>36</v>
      </c>
      <c r="G68" s="20">
        <v>25</v>
      </c>
      <c r="H68" s="20">
        <v>150</v>
      </c>
      <c r="I68" s="20">
        <f t="shared" si="5"/>
        <v>7</v>
      </c>
      <c r="J68" s="20">
        <f t="shared" si="6"/>
        <v>7</v>
      </c>
      <c r="K68" s="157">
        <f t="shared" si="7"/>
        <v>132</v>
      </c>
      <c r="L68" s="157">
        <v>15000</v>
      </c>
      <c r="M68" s="157">
        <v>22000</v>
      </c>
      <c r="N68" s="20">
        <v>80</v>
      </c>
      <c r="P68" s="20" t="s">
        <v>934</v>
      </c>
      <c r="R68" s="157"/>
      <c r="Z68" s="157"/>
      <c r="AA68" s="157"/>
    </row>
    <row r="69" spans="1:27" s="20" customFormat="1" x14ac:dyDescent="0.25">
      <c r="A69" s="20" t="s">
        <v>27</v>
      </c>
      <c r="B69" s="20" t="s">
        <v>33</v>
      </c>
      <c r="C69" s="20">
        <v>1500</v>
      </c>
      <c r="D69" s="158">
        <v>8</v>
      </c>
      <c r="E69" s="20">
        <v>0.2</v>
      </c>
      <c r="F69" s="20">
        <v>36</v>
      </c>
      <c r="G69" s="20">
        <v>25</v>
      </c>
      <c r="H69" s="20">
        <v>150</v>
      </c>
      <c r="I69" s="20">
        <f t="shared" si="5"/>
        <v>8</v>
      </c>
      <c r="J69" s="20">
        <f t="shared" si="6"/>
        <v>8</v>
      </c>
      <c r="K69" s="157">
        <f t="shared" si="7"/>
        <v>133</v>
      </c>
      <c r="L69" s="157">
        <v>15000</v>
      </c>
      <c r="M69" s="157">
        <v>22000</v>
      </c>
      <c r="N69" s="20">
        <v>80</v>
      </c>
      <c r="P69" s="20" t="s">
        <v>935</v>
      </c>
      <c r="R69" s="157"/>
      <c r="Z69" s="157"/>
      <c r="AA69" s="157"/>
    </row>
    <row r="70" spans="1:27" s="20" customFormat="1" x14ac:dyDescent="0.25">
      <c r="A70" s="20" t="s">
        <v>27</v>
      </c>
      <c r="B70" s="20" t="s">
        <v>33</v>
      </c>
      <c r="C70" s="20">
        <v>1500</v>
      </c>
      <c r="D70" s="158">
        <v>9</v>
      </c>
      <c r="E70" s="20">
        <v>0.2</v>
      </c>
      <c r="F70" s="20">
        <v>36</v>
      </c>
      <c r="G70" s="20">
        <v>25</v>
      </c>
      <c r="H70" s="20">
        <v>150</v>
      </c>
      <c r="I70" s="20">
        <f t="shared" si="5"/>
        <v>9</v>
      </c>
      <c r="J70" s="20">
        <f t="shared" si="6"/>
        <v>9</v>
      </c>
      <c r="K70" s="157">
        <f t="shared" si="7"/>
        <v>134</v>
      </c>
      <c r="L70" s="157">
        <v>15000</v>
      </c>
      <c r="M70" s="157">
        <v>22000</v>
      </c>
      <c r="N70" s="20">
        <v>80</v>
      </c>
      <c r="P70" s="20" t="s">
        <v>936</v>
      </c>
      <c r="R70" s="157"/>
      <c r="Z70" s="157"/>
      <c r="AA70" s="157"/>
    </row>
    <row r="71" spans="1:27" s="25" customFormat="1" x14ac:dyDescent="0.25">
      <c r="A71" s="25" t="s">
        <v>27</v>
      </c>
      <c r="B71" s="25" t="s">
        <v>33</v>
      </c>
      <c r="C71" s="25">
        <v>1500</v>
      </c>
      <c r="D71" s="25">
        <v>10</v>
      </c>
      <c r="E71" s="25">
        <v>0.2</v>
      </c>
      <c r="F71" s="25">
        <v>36</v>
      </c>
      <c r="G71" s="25">
        <v>25</v>
      </c>
      <c r="H71" s="25">
        <v>150</v>
      </c>
      <c r="I71" s="25">
        <f>D71</f>
        <v>10</v>
      </c>
      <c r="J71" s="25">
        <f>D71</f>
        <v>10</v>
      </c>
      <c r="K71" s="27">
        <f>125+D71</f>
        <v>135</v>
      </c>
      <c r="L71" s="27">
        <v>15000</v>
      </c>
      <c r="M71" s="27">
        <v>22000</v>
      </c>
      <c r="N71" s="25">
        <v>80</v>
      </c>
      <c r="P71" s="25" t="s">
        <v>125</v>
      </c>
      <c r="Q71" s="27"/>
      <c r="R71" s="27"/>
      <c r="Z71" s="27"/>
      <c r="AA71" s="27"/>
    </row>
    <row r="72" spans="1:27" s="25" customFormat="1" x14ac:dyDescent="0.25">
      <c r="A72" s="25" t="s">
        <v>27</v>
      </c>
      <c r="B72" s="25" t="s">
        <v>33</v>
      </c>
      <c r="C72" s="25">
        <v>1500</v>
      </c>
      <c r="D72" s="26">
        <v>11</v>
      </c>
      <c r="E72" s="25">
        <v>0.2</v>
      </c>
      <c r="F72" s="25">
        <v>36</v>
      </c>
      <c r="G72" s="25">
        <v>25</v>
      </c>
      <c r="H72" s="25">
        <v>150</v>
      </c>
      <c r="I72" s="25">
        <f t="shared" ref="I72:I135" si="8">D72</f>
        <v>11</v>
      </c>
      <c r="J72" s="25">
        <f t="shared" ref="J72:J135" si="9">D72</f>
        <v>11</v>
      </c>
      <c r="K72" s="27">
        <f t="shared" ref="K72:K135" si="10">125+D72</f>
        <v>136</v>
      </c>
      <c r="L72" s="27">
        <v>15000</v>
      </c>
      <c r="M72" s="27">
        <v>22000</v>
      </c>
      <c r="N72" s="25">
        <v>80</v>
      </c>
      <c r="P72" s="25" t="s">
        <v>127</v>
      </c>
      <c r="Q72" s="27"/>
      <c r="R72" s="27"/>
      <c r="V72" s="27"/>
    </row>
    <row r="73" spans="1:27" s="25" customFormat="1" x14ac:dyDescent="0.25">
      <c r="A73" s="25" t="s">
        <v>27</v>
      </c>
      <c r="B73" s="25" t="s">
        <v>33</v>
      </c>
      <c r="C73" s="25">
        <v>1500</v>
      </c>
      <c r="D73" s="26">
        <v>12</v>
      </c>
      <c r="E73" s="25">
        <v>0.2</v>
      </c>
      <c r="F73" s="25">
        <v>36</v>
      </c>
      <c r="G73" s="25">
        <v>25</v>
      </c>
      <c r="H73" s="25">
        <v>150</v>
      </c>
      <c r="I73" s="25">
        <f t="shared" si="8"/>
        <v>12</v>
      </c>
      <c r="J73" s="25">
        <f t="shared" si="9"/>
        <v>12</v>
      </c>
      <c r="K73" s="27">
        <f t="shared" si="10"/>
        <v>137</v>
      </c>
      <c r="L73" s="27">
        <v>15000</v>
      </c>
      <c r="M73" s="27">
        <v>22000</v>
      </c>
      <c r="N73" s="25">
        <v>80</v>
      </c>
      <c r="P73" s="25" t="s">
        <v>126</v>
      </c>
      <c r="Q73" s="27"/>
      <c r="R73" s="27"/>
      <c r="V73" s="27"/>
    </row>
    <row r="74" spans="1:27" s="25" customFormat="1" x14ac:dyDescent="0.25">
      <c r="A74" s="25" t="s">
        <v>27</v>
      </c>
      <c r="B74" s="25" t="s">
        <v>33</v>
      </c>
      <c r="C74" s="25">
        <v>1500</v>
      </c>
      <c r="D74" s="25">
        <v>13</v>
      </c>
      <c r="E74" s="25">
        <v>0.2</v>
      </c>
      <c r="F74" s="25">
        <v>36</v>
      </c>
      <c r="G74" s="25">
        <v>25</v>
      </c>
      <c r="H74" s="25">
        <v>150</v>
      </c>
      <c r="I74" s="25">
        <f t="shared" si="8"/>
        <v>13</v>
      </c>
      <c r="J74" s="25">
        <f t="shared" si="9"/>
        <v>13</v>
      </c>
      <c r="K74" s="27">
        <f t="shared" si="10"/>
        <v>138</v>
      </c>
      <c r="L74" s="27">
        <v>15000</v>
      </c>
      <c r="M74" s="27">
        <v>22000</v>
      </c>
      <c r="N74" s="25">
        <v>80</v>
      </c>
      <c r="P74" s="25" t="s">
        <v>128</v>
      </c>
      <c r="Q74" s="27"/>
      <c r="R74" s="27"/>
      <c r="V74" s="27"/>
    </row>
    <row r="75" spans="1:27" s="25" customFormat="1" x14ac:dyDescent="0.25">
      <c r="A75" s="25" t="s">
        <v>27</v>
      </c>
      <c r="B75" s="25" t="s">
        <v>33</v>
      </c>
      <c r="C75" s="25">
        <v>1500</v>
      </c>
      <c r="D75" s="26">
        <v>14</v>
      </c>
      <c r="E75" s="25">
        <v>0.2</v>
      </c>
      <c r="F75" s="25">
        <v>36</v>
      </c>
      <c r="G75" s="25">
        <v>25</v>
      </c>
      <c r="H75" s="25">
        <v>150</v>
      </c>
      <c r="I75" s="25">
        <f t="shared" si="8"/>
        <v>14</v>
      </c>
      <c r="J75" s="25">
        <f t="shared" si="9"/>
        <v>14</v>
      </c>
      <c r="K75" s="27">
        <f t="shared" si="10"/>
        <v>139</v>
      </c>
      <c r="L75" s="27">
        <v>15000</v>
      </c>
      <c r="M75" s="27">
        <v>22000</v>
      </c>
      <c r="N75" s="25">
        <v>80</v>
      </c>
      <c r="P75" s="25" t="s">
        <v>129</v>
      </c>
      <c r="Q75" s="27"/>
      <c r="R75" s="27"/>
      <c r="V75" s="27"/>
    </row>
    <row r="76" spans="1:27" s="25" customFormat="1" x14ac:dyDescent="0.25">
      <c r="A76" s="25" t="s">
        <v>27</v>
      </c>
      <c r="B76" s="25" t="s">
        <v>33</v>
      </c>
      <c r="C76" s="25">
        <v>1500</v>
      </c>
      <c r="D76" s="26">
        <v>15</v>
      </c>
      <c r="E76" s="25">
        <v>0.2</v>
      </c>
      <c r="F76" s="25">
        <v>36</v>
      </c>
      <c r="G76" s="25">
        <v>25</v>
      </c>
      <c r="H76" s="25">
        <v>150</v>
      </c>
      <c r="I76" s="25">
        <f t="shared" si="8"/>
        <v>15</v>
      </c>
      <c r="J76" s="25">
        <f t="shared" si="9"/>
        <v>15</v>
      </c>
      <c r="K76" s="27">
        <f t="shared" si="10"/>
        <v>140</v>
      </c>
      <c r="L76" s="27">
        <v>15000</v>
      </c>
      <c r="M76" s="27">
        <v>22000</v>
      </c>
      <c r="N76" s="25">
        <v>80</v>
      </c>
      <c r="P76" s="25" t="s">
        <v>130</v>
      </c>
      <c r="Q76" s="27"/>
      <c r="R76" s="27"/>
      <c r="V76" s="27"/>
    </row>
    <row r="77" spans="1:27" s="25" customFormat="1" x14ac:dyDescent="0.25">
      <c r="A77" s="25" t="s">
        <v>27</v>
      </c>
      <c r="B77" s="25" t="s">
        <v>33</v>
      </c>
      <c r="C77" s="25">
        <v>1500</v>
      </c>
      <c r="D77" s="25">
        <v>16</v>
      </c>
      <c r="E77" s="25">
        <v>0.2</v>
      </c>
      <c r="F77" s="25">
        <v>36</v>
      </c>
      <c r="G77" s="25">
        <v>25</v>
      </c>
      <c r="H77" s="25">
        <v>150</v>
      </c>
      <c r="I77" s="25">
        <f t="shared" si="8"/>
        <v>16</v>
      </c>
      <c r="J77" s="25">
        <f t="shared" si="9"/>
        <v>16</v>
      </c>
      <c r="K77" s="27">
        <f t="shared" si="10"/>
        <v>141</v>
      </c>
      <c r="L77" s="27">
        <v>15000</v>
      </c>
      <c r="M77" s="27">
        <v>22000</v>
      </c>
      <c r="N77" s="25">
        <v>80</v>
      </c>
      <c r="P77" s="25" t="s">
        <v>131</v>
      </c>
      <c r="Q77" s="27"/>
      <c r="R77" s="27"/>
      <c r="V77" s="27"/>
    </row>
    <row r="78" spans="1:27" s="25" customFormat="1" x14ac:dyDescent="0.25">
      <c r="A78" s="25" t="s">
        <v>27</v>
      </c>
      <c r="B78" s="25" t="s">
        <v>33</v>
      </c>
      <c r="C78" s="25">
        <v>1500</v>
      </c>
      <c r="D78" s="26">
        <v>17</v>
      </c>
      <c r="E78" s="25">
        <v>0.2</v>
      </c>
      <c r="F78" s="25">
        <v>36</v>
      </c>
      <c r="G78" s="25">
        <v>25</v>
      </c>
      <c r="H78" s="25">
        <v>150</v>
      </c>
      <c r="I78" s="25">
        <f t="shared" si="8"/>
        <v>17</v>
      </c>
      <c r="J78" s="25">
        <f t="shared" si="9"/>
        <v>17</v>
      </c>
      <c r="K78" s="27">
        <f t="shared" si="10"/>
        <v>142</v>
      </c>
      <c r="L78" s="27">
        <v>15000</v>
      </c>
      <c r="M78" s="27">
        <v>22000</v>
      </c>
      <c r="N78" s="25">
        <v>80</v>
      </c>
      <c r="P78" s="25" t="s">
        <v>132</v>
      </c>
      <c r="Q78" s="27"/>
      <c r="R78" s="27"/>
      <c r="V78" s="27"/>
    </row>
    <row r="79" spans="1:27" s="25" customFormat="1" x14ac:dyDescent="0.25">
      <c r="A79" s="25" t="s">
        <v>27</v>
      </c>
      <c r="B79" s="25" t="s">
        <v>33</v>
      </c>
      <c r="C79" s="25">
        <v>1500</v>
      </c>
      <c r="D79" s="26">
        <v>18</v>
      </c>
      <c r="E79" s="25">
        <v>0.2</v>
      </c>
      <c r="F79" s="25">
        <v>36</v>
      </c>
      <c r="G79" s="25">
        <v>25</v>
      </c>
      <c r="H79" s="25">
        <v>150</v>
      </c>
      <c r="I79" s="25">
        <f t="shared" si="8"/>
        <v>18</v>
      </c>
      <c r="J79" s="25">
        <f t="shared" si="9"/>
        <v>18</v>
      </c>
      <c r="K79" s="27">
        <f t="shared" si="10"/>
        <v>143</v>
      </c>
      <c r="L79" s="27">
        <v>15000</v>
      </c>
      <c r="M79" s="27">
        <v>22000</v>
      </c>
      <c r="N79" s="25">
        <v>80</v>
      </c>
      <c r="P79" s="25" t="s">
        <v>133</v>
      </c>
      <c r="Q79" s="27"/>
      <c r="R79" s="27"/>
      <c r="V79" s="27"/>
    </row>
    <row r="80" spans="1:27" s="25" customFormat="1" x14ac:dyDescent="0.25">
      <c r="A80" s="25" t="s">
        <v>27</v>
      </c>
      <c r="B80" s="25" t="s">
        <v>33</v>
      </c>
      <c r="C80" s="25">
        <v>1500</v>
      </c>
      <c r="D80" s="25">
        <v>19</v>
      </c>
      <c r="E80" s="25">
        <v>0.2</v>
      </c>
      <c r="F80" s="25">
        <v>36</v>
      </c>
      <c r="G80" s="25">
        <v>25</v>
      </c>
      <c r="H80" s="25">
        <v>150</v>
      </c>
      <c r="I80" s="25">
        <f t="shared" si="8"/>
        <v>19</v>
      </c>
      <c r="J80" s="25">
        <f t="shared" si="9"/>
        <v>19</v>
      </c>
      <c r="K80" s="27">
        <f t="shared" si="10"/>
        <v>144</v>
      </c>
      <c r="L80" s="27">
        <v>15000</v>
      </c>
      <c r="M80" s="27">
        <v>22000</v>
      </c>
      <c r="N80" s="25">
        <v>80</v>
      </c>
      <c r="P80" s="25" t="s">
        <v>134</v>
      </c>
      <c r="Q80" s="27"/>
      <c r="R80" s="27"/>
      <c r="V80" s="27"/>
    </row>
    <row r="81" spans="1:22" s="25" customFormat="1" x14ac:dyDescent="0.25">
      <c r="A81" s="25" t="s">
        <v>27</v>
      </c>
      <c r="B81" s="25" t="s">
        <v>33</v>
      </c>
      <c r="C81" s="25">
        <v>1500</v>
      </c>
      <c r="D81" s="26">
        <v>20</v>
      </c>
      <c r="E81" s="25">
        <v>0.2</v>
      </c>
      <c r="F81" s="25">
        <v>36</v>
      </c>
      <c r="G81" s="25">
        <v>25</v>
      </c>
      <c r="H81" s="25">
        <v>150</v>
      </c>
      <c r="I81" s="25">
        <f t="shared" si="8"/>
        <v>20</v>
      </c>
      <c r="J81" s="25">
        <f t="shared" si="9"/>
        <v>20</v>
      </c>
      <c r="K81" s="27">
        <f t="shared" si="10"/>
        <v>145</v>
      </c>
      <c r="L81" s="27">
        <v>15000</v>
      </c>
      <c r="M81" s="27">
        <v>22000</v>
      </c>
      <c r="N81" s="25">
        <v>80</v>
      </c>
      <c r="P81" s="25" t="s">
        <v>135</v>
      </c>
      <c r="Q81" s="27"/>
      <c r="R81" s="27"/>
      <c r="V81" s="27"/>
    </row>
    <row r="82" spans="1:22" s="25" customFormat="1" x14ac:dyDescent="0.25">
      <c r="A82" s="25" t="s">
        <v>27</v>
      </c>
      <c r="B82" s="25" t="s">
        <v>33</v>
      </c>
      <c r="C82" s="25">
        <v>1500</v>
      </c>
      <c r="D82" s="26">
        <v>21</v>
      </c>
      <c r="E82" s="25">
        <v>0.2</v>
      </c>
      <c r="F82" s="25">
        <v>36</v>
      </c>
      <c r="G82" s="25">
        <v>25</v>
      </c>
      <c r="H82" s="25">
        <v>150</v>
      </c>
      <c r="I82" s="25">
        <f t="shared" si="8"/>
        <v>21</v>
      </c>
      <c r="J82" s="25">
        <f t="shared" si="9"/>
        <v>21</v>
      </c>
      <c r="K82" s="27">
        <f t="shared" si="10"/>
        <v>146</v>
      </c>
      <c r="L82" s="27">
        <v>15000</v>
      </c>
      <c r="M82" s="27">
        <v>22000</v>
      </c>
      <c r="N82" s="25">
        <v>80</v>
      </c>
      <c r="P82" s="25" t="s">
        <v>136</v>
      </c>
      <c r="Q82" s="27"/>
      <c r="R82" s="27"/>
      <c r="V82" s="27"/>
    </row>
    <row r="83" spans="1:22" s="25" customFormat="1" x14ac:dyDescent="0.25">
      <c r="A83" s="25" t="s">
        <v>27</v>
      </c>
      <c r="B83" s="25" t="s">
        <v>33</v>
      </c>
      <c r="C83" s="25">
        <v>1500</v>
      </c>
      <c r="D83" s="25">
        <v>22</v>
      </c>
      <c r="E83" s="25">
        <v>0.2</v>
      </c>
      <c r="F83" s="25">
        <v>36</v>
      </c>
      <c r="G83" s="25">
        <v>25</v>
      </c>
      <c r="H83" s="25">
        <v>150</v>
      </c>
      <c r="I83" s="25">
        <f t="shared" si="8"/>
        <v>22</v>
      </c>
      <c r="J83" s="25">
        <f t="shared" si="9"/>
        <v>22</v>
      </c>
      <c r="K83" s="27">
        <f t="shared" si="10"/>
        <v>147</v>
      </c>
      <c r="L83" s="27">
        <v>15000</v>
      </c>
      <c r="M83" s="27">
        <v>22000</v>
      </c>
      <c r="N83" s="25">
        <v>80</v>
      </c>
      <c r="P83" s="25" t="s">
        <v>137</v>
      </c>
      <c r="Q83" s="27"/>
      <c r="R83" s="27"/>
    </row>
    <row r="84" spans="1:22" s="25" customFormat="1" x14ac:dyDescent="0.25">
      <c r="A84" s="25" t="s">
        <v>27</v>
      </c>
      <c r="B84" s="25" t="s">
        <v>33</v>
      </c>
      <c r="C84" s="25">
        <v>1500</v>
      </c>
      <c r="D84" s="26">
        <v>23</v>
      </c>
      <c r="E84" s="25">
        <v>0.2</v>
      </c>
      <c r="F84" s="25">
        <v>36</v>
      </c>
      <c r="G84" s="25">
        <v>25</v>
      </c>
      <c r="H84" s="25">
        <v>150</v>
      </c>
      <c r="I84" s="25">
        <f t="shared" si="8"/>
        <v>23</v>
      </c>
      <c r="J84" s="25">
        <f t="shared" si="9"/>
        <v>23</v>
      </c>
      <c r="K84" s="27">
        <f t="shared" si="10"/>
        <v>148</v>
      </c>
      <c r="L84" s="27">
        <v>15000</v>
      </c>
      <c r="M84" s="27">
        <v>22000</v>
      </c>
      <c r="N84" s="25">
        <v>80</v>
      </c>
      <c r="P84" s="25" t="s">
        <v>138</v>
      </c>
      <c r="Q84" s="27"/>
      <c r="R84" s="27"/>
    </row>
    <row r="85" spans="1:22" s="25" customFormat="1" x14ac:dyDescent="0.25">
      <c r="A85" s="25" t="s">
        <v>27</v>
      </c>
      <c r="B85" s="25" t="s">
        <v>33</v>
      </c>
      <c r="C85" s="25">
        <v>1500</v>
      </c>
      <c r="D85" s="26">
        <v>24</v>
      </c>
      <c r="E85" s="25">
        <v>0.2</v>
      </c>
      <c r="F85" s="25">
        <v>36</v>
      </c>
      <c r="G85" s="25">
        <v>25</v>
      </c>
      <c r="H85" s="25">
        <v>150</v>
      </c>
      <c r="I85" s="25">
        <f t="shared" si="8"/>
        <v>24</v>
      </c>
      <c r="J85" s="25">
        <f t="shared" si="9"/>
        <v>24</v>
      </c>
      <c r="K85" s="27">
        <f t="shared" si="10"/>
        <v>149</v>
      </c>
      <c r="L85" s="27">
        <v>15000</v>
      </c>
      <c r="M85" s="27">
        <v>22000</v>
      </c>
      <c r="N85" s="25">
        <v>80</v>
      </c>
      <c r="P85" s="25" t="s">
        <v>139</v>
      </c>
      <c r="Q85" s="27"/>
      <c r="R85" s="27"/>
    </row>
    <row r="86" spans="1:22" s="25" customFormat="1" x14ac:dyDescent="0.25">
      <c r="A86" s="25" t="s">
        <v>27</v>
      </c>
      <c r="B86" s="25" t="s">
        <v>33</v>
      </c>
      <c r="C86" s="25">
        <v>1500</v>
      </c>
      <c r="D86" s="25">
        <v>25</v>
      </c>
      <c r="E86" s="25">
        <v>0.2</v>
      </c>
      <c r="F86" s="25">
        <v>36</v>
      </c>
      <c r="G86" s="25">
        <v>25</v>
      </c>
      <c r="H86" s="25">
        <v>150</v>
      </c>
      <c r="I86" s="25">
        <f t="shared" si="8"/>
        <v>25</v>
      </c>
      <c r="J86" s="25">
        <f t="shared" si="9"/>
        <v>25</v>
      </c>
      <c r="K86" s="27">
        <f t="shared" si="10"/>
        <v>150</v>
      </c>
      <c r="L86" s="27">
        <v>15000</v>
      </c>
      <c r="M86" s="27">
        <v>22000</v>
      </c>
      <c r="N86" s="25">
        <v>80</v>
      </c>
      <c r="P86" s="25" t="s">
        <v>140</v>
      </c>
      <c r="Q86" s="27"/>
      <c r="R86" s="27"/>
    </row>
    <row r="87" spans="1:22" s="25" customFormat="1" x14ac:dyDescent="0.25">
      <c r="A87" s="25" t="s">
        <v>27</v>
      </c>
      <c r="B87" s="25" t="s">
        <v>33</v>
      </c>
      <c r="C87" s="25">
        <v>1500</v>
      </c>
      <c r="D87" s="26">
        <v>26</v>
      </c>
      <c r="E87" s="25">
        <v>0.2</v>
      </c>
      <c r="F87" s="25">
        <v>36</v>
      </c>
      <c r="G87" s="25">
        <v>25</v>
      </c>
      <c r="H87" s="25">
        <v>150</v>
      </c>
      <c r="I87" s="25">
        <f t="shared" si="8"/>
        <v>26</v>
      </c>
      <c r="J87" s="25">
        <f t="shared" si="9"/>
        <v>26</v>
      </c>
      <c r="K87" s="27">
        <f t="shared" si="10"/>
        <v>151</v>
      </c>
      <c r="L87" s="27">
        <v>15000</v>
      </c>
      <c r="M87" s="27">
        <v>22000</v>
      </c>
      <c r="N87" s="25">
        <v>80</v>
      </c>
      <c r="P87" s="25" t="s">
        <v>141</v>
      </c>
      <c r="Q87" s="27"/>
      <c r="R87" s="27"/>
    </row>
    <row r="88" spans="1:22" s="25" customFormat="1" x14ac:dyDescent="0.25">
      <c r="A88" s="25" t="s">
        <v>27</v>
      </c>
      <c r="B88" s="25" t="s">
        <v>33</v>
      </c>
      <c r="C88" s="25">
        <v>1500</v>
      </c>
      <c r="D88" s="26">
        <v>27</v>
      </c>
      <c r="E88" s="25">
        <v>0.2</v>
      </c>
      <c r="F88" s="25">
        <v>36</v>
      </c>
      <c r="G88" s="25">
        <v>25</v>
      </c>
      <c r="H88" s="25">
        <v>150</v>
      </c>
      <c r="I88" s="25">
        <f t="shared" si="8"/>
        <v>27</v>
      </c>
      <c r="J88" s="25">
        <f t="shared" si="9"/>
        <v>27</v>
      </c>
      <c r="K88" s="27">
        <f t="shared" si="10"/>
        <v>152</v>
      </c>
      <c r="L88" s="27">
        <v>15000</v>
      </c>
      <c r="M88" s="27">
        <v>22000</v>
      </c>
      <c r="N88" s="25">
        <v>80</v>
      </c>
      <c r="P88" s="25" t="s">
        <v>142</v>
      </c>
      <c r="Q88" s="27"/>
      <c r="R88" s="27"/>
    </row>
    <row r="89" spans="1:22" s="25" customFormat="1" x14ac:dyDescent="0.25">
      <c r="A89" s="25" t="s">
        <v>27</v>
      </c>
      <c r="B89" s="25" t="s">
        <v>33</v>
      </c>
      <c r="C89" s="25">
        <v>1500</v>
      </c>
      <c r="D89" s="25">
        <v>28</v>
      </c>
      <c r="E89" s="25">
        <v>0.2</v>
      </c>
      <c r="F89" s="25">
        <v>36</v>
      </c>
      <c r="G89" s="25">
        <v>25</v>
      </c>
      <c r="H89" s="25">
        <v>150</v>
      </c>
      <c r="I89" s="25">
        <f t="shared" si="8"/>
        <v>28</v>
      </c>
      <c r="J89" s="25">
        <f t="shared" si="9"/>
        <v>28</v>
      </c>
      <c r="K89" s="27">
        <f t="shared" si="10"/>
        <v>153</v>
      </c>
      <c r="L89" s="27">
        <v>15000</v>
      </c>
      <c r="M89" s="27">
        <v>22000</v>
      </c>
      <c r="N89" s="25">
        <v>80</v>
      </c>
      <c r="P89" s="25" t="s">
        <v>143</v>
      </c>
      <c r="Q89" s="27"/>
      <c r="R89" s="27"/>
    </row>
    <row r="90" spans="1:22" s="25" customFormat="1" x14ac:dyDescent="0.25">
      <c r="A90" s="25" t="s">
        <v>27</v>
      </c>
      <c r="B90" s="25" t="s">
        <v>33</v>
      </c>
      <c r="C90" s="25">
        <v>1500</v>
      </c>
      <c r="D90" s="26">
        <v>29</v>
      </c>
      <c r="E90" s="25">
        <v>0.2</v>
      </c>
      <c r="F90" s="25">
        <v>36</v>
      </c>
      <c r="G90" s="25">
        <v>25</v>
      </c>
      <c r="H90" s="25">
        <v>150</v>
      </c>
      <c r="I90" s="25">
        <f t="shared" si="8"/>
        <v>29</v>
      </c>
      <c r="J90" s="25">
        <f t="shared" si="9"/>
        <v>29</v>
      </c>
      <c r="K90" s="27">
        <f t="shared" si="10"/>
        <v>154</v>
      </c>
      <c r="L90" s="27">
        <v>15000</v>
      </c>
      <c r="M90" s="27">
        <v>22000</v>
      </c>
      <c r="N90" s="25">
        <v>80</v>
      </c>
      <c r="P90" s="25" t="s">
        <v>144</v>
      </c>
      <c r="Q90" s="27"/>
      <c r="R90" s="27"/>
    </row>
    <row r="91" spans="1:22" s="25" customFormat="1" x14ac:dyDescent="0.25">
      <c r="A91" s="25" t="s">
        <v>27</v>
      </c>
      <c r="B91" s="25" t="s">
        <v>33</v>
      </c>
      <c r="C91" s="25">
        <v>1500</v>
      </c>
      <c r="D91" s="26">
        <v>30</v>
      </c>
      <c r="E91" s="25">
        <v>0.2</v>
      </c>
      <c r="F91" s="25">
        <v>36</v>
      </c>
      <c r="G91" s="25">
        <v>25</v>
      </c>
      <c r="H91" s="25">
        <v>150</v>
      </c>
      <c r="I91" s="25">
        <f t="shared" si="8"/>
        <v>30</v>
      </c>
      <c r="J91" s="25">
        <f t="shared" si="9"/>
        <v>30</v>
      </c>
      <c r="K91" s="27">
        <f t="shared" si="10"/>
        <v>155</v>
      </c>
      <c r="L91" s="27">
        <v>15000</v>
      </c>
      <c r="M91" s="27">
        <v>22000</v>
      </c>
      <c r="N91" s="25">
        <v>80</v>
      </c>
      <c r="P91" s="25" t="s">
        <v>145</v>
      </c>
      <c r="Q91" s="27"/>
      <c r="R91" s="27"/>
    </row>
    <row r="92" spans="1:22" s="25" customFormat="1" x14ac:dyDescent="0.25">
      <c r="A92" s="25" t="s">
        <v>27</v>
      </c>
      <c r="B92" s="25" t="s">
        <v>33</v>
      </c>
      <c r="C92" s="25">
        <v>1500</v>
      </c>
      <c r="D92" s="25">
        <v>31</v>
      </c>
      <c r="E92" s="25">
        <v>0.2</v>
      </c>
      <c r="F92" s="25">
        <v>36</v>
      </c>
      <c r="G92" s="25">
        <v>25</v>
      </c>
      <c r="H92" s="25">
        <v>150</v>
      </c>
      <c r="I92" s="25">
        <f t="shared" si="8"/>
        <v>31</v>
      </c>
      <c r="J92" s="25">
        <f t="shared" si="9"/>
        <v>31</v>
      </c>
      <c r="K92" s="27">
        <f t="shared" si="10"/>
        <v>156</v>
      </c>
      <c r="L92" s="27">
        <v>15000</v>
      </c>
      <c r="M92" s="27">
        <v>22000</v>
      </c>
      <c r="N92" s="25">
        <v>80</v>
      </c>
      <c r="P92" s="25" t="s">
        <v>146</v>
      </c>
      <c r="Q92" s="27"/>
      <c r="R92" s="27"/>
    </row>
    <row r="93" spans="1:22" s="25" customFormat="1" x14ac:dyDescent="0.25">
      <c r="A93" s="25" t="s">
        <v>27</v>
      </c>
      <c r="B93" s="25" t="s">
        <v>33</v>
      </c>
      <c r="C93" s="25">
        <v>1500</v>
      </c>
      <c r="D93" s="26">
        <v>32</v>
      </c>
      <c r="E93" s="25">
        <v>0.2</v>
      </c>
      <c r="F93" s="25">
        <v>36</v>
      </c>
      <c r="G93" s="25">
        <v>25</v>
      </c>
      <c r="H93" s="25">
        <v>150</v>
      </c>
      <c r="I93" s="25">
        <f t="shared" si="8"/>
        <v>32</v>
      </c>
      <c r="J93" s="25">
        <f t="shared" si="9"/>
        <v>32</v>
      </c>
      <c r="K93" s="27">
        <f t="shared" si="10"/>
        <v>157</v>
      </c>
      <c r="L93" s="27">
        <v>15000</v>
      </c>
      <c r="M93" s="27">
        <v>22000</v>
      </c>
      <c r="N93" s="25">
        <v>80</v>
      </c>
      <c r="P93" s="25" t="s">
        <v>147</v>
      </c>
      <c r="Q93" s="27"/>
      <c r="R93" s="27"/>
    </row>
    <row r="94" spans="1:22" s="25" customFormat="1" x14ac:dyDescent="0.25">
      <c r="A94" s="25" t="s">
        <v>27</v>
      </c>
      <c r="B94" s="25" t="s">
        <v>33</v>
      </c>
      <c r="C94" s="25">
        <v>1500</v>
      </c>
      <c r="D94" s="26">
        <v>33</v>
      </c>
      <c r="E94" s="25">
        <v>0.2</v>
      </c>
      <c r="F94" s="25">
        <v>36</v>
      </c>
      <c r="G94" s="25">
        <v>25</v>
      </c>
      <c r="H94" s="25">
        <v>150</v>
      </c>
      <c r="I94" s="25">
        <f t="shared" si="8"/>
        <v>33</v>
      </c>
      <c r="J94" s="25">
        <f t="shared" si="9"/>
        <v>33</v>
      </c>
      <c r="K94" s="27">
        <f t="shared" si="10"/>
        <v>158</v>
      </c>
      <c r="L94" s="27">
        <v>15000</v>
      </c>
      <c r="M94" s="27">
        <v>22000</v>
      </c>
      <c r="N94" s="25">
        <v>80</v>
      </c>
      <c r="P94" s="25" t="s">
        <v>148</v>
      </c>
      <c r="Q94" s="27"/>
      <c r="R94" s="27"/>
    </row>
    <row r="95" spans="1:22" s="25" customFormat="1" x14ac:dyDescent="0.25">
      <c r="A95" s="25" t="s">
        <v>27</v>
      </c>
      <c r="B95" s="25" t="s">
        <v>33</v>
      </c>
      <c r="C95" s="25">
        <v>1500</v>
      </c>
      <c r="D95" s="25">
        <v>34</v>
      </c>
      <c r="E95" s="25">
        <v>0.2</v>
      </c>
      <c r="F95" s="25">
        <v>36</v>
      </c>
      <c r="G95" s="25">
        <v>25</v>
      </c>
      <c r="H95" s="25">
        <v>150</v>
      </c>
      <c r="I95" s="25">
        <f t="shared" si="8"/>
        <v>34</v>
      </c>
      <c r="J95" s="25">
        <f t="shared" si="9"/>
        <v>34</v>
      </c>
      <c r="K95" s="27">
        <f t="shared" si="10"/>
        <v>159</v>
      </c>
      <c r="L95" s="27">
        <v>15000</v>
      </c>
      <c r="M95" s="27">
        <v>22000</v>
      </c>
      <c r="N95" s="25">
        <v>80</v>
      </c>
      <c r="P95" s="25" t="s">
        <v>149</v>
      </c>
      <c r="Q95" s="27"/>
      <c r="R95" s="27"/>
    </row>
    <row r="96" spans="1:22" s="25" customFormat="1" x14ac:dyDescent="0.25">
      <c r="A96" s="25" t="s">
        <v>27</v>
      </c>
      <c r="B96" s="25" t="s">
        <v>33</v>
      </c>
      <c r="C96" s="25">
        <v>1500</v>
      </c>
      <c r="D96" s="26">
        <v>35</v>
      </c>
      <c r="E96" s="25">
        <v>0.2</v>
      </c>
      <c r="F96" s="25">
        <v>36</v>
      </c>
      <c r="G96" s="25">
        <v>25</v>
      </c>
      <c r="H96" s="25">
        <v>150</v>
      </c>
      <c r="I96" s="25">
        <f t="shared" si="8"/>
        <v>35</v>
      </c>
      <c r="J96" s="25">
        <f t="shared" si="9"/>
        <v>35</v>
      </c>
      <c r="K96" s="27">
        <f t="shared" si="10"/>
        <v>160</v>
      </c>
      <c r="L96" s="27">
        <v>15000</v>
      </c>
      <c r="M96" s="27">
        <v>22000</v>
      </c>
      <c r="N96" s="25">
        <v>80</v>
      </c>
      <c r="P96" s="25" t="s">
        <v>150</v>
      </c>
      <c r="Q96" s="27"/>
      <c r="R96" s="27"/>
    </row>
    <row r="97" spans="1:18" s="25" customFormat="1" x14ac:dyDescent="0.25">
      <c r="A97" s="25" t="s">
        <v>27</v>
      </c>
      <c r="B97" s="25" t="s">
        <v>33</v>
      </c>
      <c r="C97" s="25">
        <v>1500</v>
      </c>
      <c r="D97" s="26">
        <v>36</v>
      </c>
      <c r="E97" s="25">
        <v>0.2</v>
      </c>
      <c r="F97" s="25">
        <v>36</v>
      </c>
      <c r="G97" s="25">
        <v>25</v>
      </c>
      <c r="H97" s="25">
        <v>150</v>
      </c>
      <c r="I97" s="25">
        <f t="shared" si="8"/>
        <v>36</v>
      </c>
      <c r="J97" s="25">
        <f t="shared" si="9"/>
        <v>36</v>
      </c>
      <c r="K97" s="27">
        <f t="shared" si="10"/>
        <v>161</v>
      </c>
      <c r="L97" s="27">
        <v>15000</v>
      </c>
      <c r="M97" s="27">
        <v>22000</v>
      </c>
      <c r="N97" s="25">
        <v>80</v>
      </c>
      <c r="P97" s="25" t="s">
        <v>151</v>
      </c>
      <c r="Q97" s="27"/>
      <c r="R97" s="27"/>
    </row>
    <row r="98" spans="1:18" s="25" customFormat="1" x14ac:dyDescent="0.25">
      <c r="A98" s="25" t="s">
        <v>27</v>
      </c>
      <c r="B98" s="25" t="s">
        <v>33</v>
      </c>
      <c r="C98" s="25">
        <v>1500</v>
      </c>
      <c r="D98" s="25">
        <v>37</v>
      </c>
      <c r="E98" s="25">
        <v>0.2</v>
      </c>
      <c r="F98" s="25">
        <v>36</v>
      </c>
      <c r="G98" s="25">
        <v>25</v>
      </c>
      <c r="H98" s="25">
        <v>150</v>
      </c>
      <c r="I98" s="25">
        <f t="shared" si="8"/>
        <v>37</v>
      </c>
      <c r="J98" s="25">
        <f t="shared" si="9"/>
        <v>37</v>
      </c>
      <c r="K98" s="27">
        <f t="shared" si="10"/>
        <v>162</v>
      </c>
      <c r="L98" s="27">
        <v>15000</v>
      </c>
      <c r="M98" s="27">
        <v>22000</v>
      </c>
      <c r="N98" s="25">
        <v>80</v>
      </c>
      <c r="P98" s="25" t="s">
        <v>152</v>
      </c>
      <c r="Q98" s="27"/>
      <c r="R98" s="27"/>
    </row>
    <row r="99" spans="1:18" s="25" customFormat="1" x14ac:dyDescent="0.25">
      <c r="A99" s="25" t="s">
        <v>27</v>
      </c>
      <c r="B99" s="25" t="s">
        <v>33</v>
      </c>
      <c r="C99" s="25">
        <v>1500</v>
      </c>
      <c r="D99" s="26">
        <v>38</v>
      </c>
      <c r="E99" s="25">
        <v>0.2</v>
      </c>
      <c r="F99" s="25">
        <v>36</v>
      </c>
      <c r="G99" s="25">
        <v>25</v>
      </c>
      <c r="H99" s="25">
        <v>150</v>
      </c>
      <c r="I99" s="25">
        <f t="shared" si="8"/>
        <v>38</v>
      </c>
      <c r="J99" s="25">
        <f t="shared" si="9"/>
        <v>38</v>
      </c>
      <c r="K99" s="27">
        <f t="shared" si="10"/>
        <v>163</v>
      </c>
      <c r="L99" s="27">
        <v>15000</v>
      </c>
      <c r="M99" s="27">
        <v>22000</v>
      </c>
      <c r="N99" s="25">
        <v>80</v>
      </c>
      <c r="P99" s="25" t="s">
        <v>153</v>
      </c>
      <c r="Q99" s="27"/>
      <c r="R99" s="27"/>
    </row>
    <row r="100" spans="1:18" s="25" customFormat="1" x14ac:dyDescent="0.25">
      <c r="A100" s="25" t="s">
        <v>27</v>
      </c>
      <c r="B100" s="25" t="s">
        <v>33</v>
      </c>
      <c r="C100" s="25">
        <v>1500</v>
      </c>
      <c r="D100" s="26">
        <v>39</v>
      </c>
      <c r="E100" s="25">
        <v>0.2</v>
      </c>
      <c r="F100" s="25">
        <v>36</v>
      </c>
      <c r="G100" s="25">
        <v>25</v>
      </c>
      <c r="H100" s="25">
        <v>150</v>
      </c>
      <c r="I100" s="25">
        <f t="shared" si="8"/>
        <v>39</v>
      </c>
      <c r="J100" s="25">
        <f t="shared" si="9"/>
        <v>39</v>
      </c>
      <c r="K100" s="27">
        <f t="shared" si="10"/>
        <v>164</v>
      </c>
      <c r="L100" s="27">
        <v>15000</v>
      </c>
      <c r="M100" s="27">
        <v>22000</v>
      </c>
      <c r="N100" s="25">
        <v>80</v>
      </c>
      <c r="P100" s="25" t="s">
        <v>154</v>
      </c>
      <c r="Q100" s="27"/>
      <c r="R100" s="27"/>
    </row>
    <row r="101" spans="1:18" s="25" customFormat="1" x14ac:dyDescent="0.25">
      <c r="A101" s="25" t="s">
        <v>27</v>
      </c>
      <c r="B101" s="25" t="s">
        <v>33</v>
      </c>
      <c r="C101" s="25">
        <v>1500</v>
      </c>
      <c r="D101" s="25">
        <v>40</v>
      </c>
      <c r="E101" s="25">
        <v>0.2</v>
      </c>
      <c r="F101" s="25">
        <v>36</v>
      </c>
      <c r="G101" s="25">
        <v>25</v>
      </c>
      <c r="H101" s="25">
        <v>150</v>
      </c>
      <c r="I101" s="25">
        <f t="shared" si="8"/>
        <v>40</v>
      </c>
      <c r="J101" s="25">
        <f t="shared" si="9"/>
        <v>40</v>
      </c>
      <c r="K101" s="27">
        <f t="shared" si="10"/>
        <v>165</v>
      </c>
      <c r="L101" s="27">
        <v>15000</v>
      </c>
      <c r="M101" s="27">
        <v>22000</v>
      </c>
      <c r="N101" s="25">
        <v>80</v>
      </c>
      <c r="P101" s="25" t="s">
        <v>155</v>
      </c>
      <c r="Q101" s="27"/>
      <c r="R101" s="27"/>
    </row>
    <row r="102" spans="1:18" s="25" customFormat="1" x14ac:dyDescent="0.25">
      <c r="A102" s="25" t="s">
        <v>27</v>
      </c>
      <c r="B102" s="25" t="s">
        <v>33</v>
      </c>
      <c r="C102" s="25">
        <v>1500</v>
      </c>
      <c r="D102" s="26">
        <v>41</v>
      </c>
      <c r="E102" s="25">
        <v>0.2</v>
      </c>
      <c r="F102" s="25">
        <v>36</v>
      </c>
      <c r="G102" s="25">
        <v>25</v>
      </c>
      <c r="H102" s="25">
        <v>150</v>
      </c>
      <c r="I102" s="25">
        <f t="shared" si="8"/>
        <v>41</v>
      </c>
      <c r="J102" s="25">
        <f t="shared" si="9"/>
        <v>41</v>
      </c>
      <c r="K102" s="27">
        <f t="shared" si="10"/>
        <v>166</v>
      </c>
      <c r="L102" s="27">
        <v>15000</v>
      </c>
      <c r="M102" s="27">
        <v>22000</v>
      </c>
      <c r="N102" s="25">
        <v>80</v>
      </c>
      <c r="P102" s="25" t="s">
        <v>156</v>
      </c>
      <c r="Q102" s="27"/>
      <c r="R102" s="27"/>
    </row>
    <row r="103" spans="1:18" s="25" customFormat="1" x14ac:dyDescent="0.25">
      <c r="A103" s="25" t="s">
        <v>27</v>
      </c>
      <c r="B103" s="25" t="s">
        <v>33</v>
      </c>
      <c r="C103" s="25">
        <v>1500</v>
      </c>
      <c r="D103" s="26">
        <v>42</v>
      </c>
      <c r="E103" s="25">
        <v>0.2</v>
      </c>
      <c r="F103" s="25">
        <v>36</v>
      </c>
      <c r="G103" s="25">
        <v>25</v>
      </c>
      <c r="H103" s="25">
        <v>150</v>
      </c>
      <c r="I103" s="25">
        <f t="shared" si="8"/>
        <v>42</v>
      </c>
      <c r="J103" s="25">
        <f t="shared" si="9"/>
        <v>42</v>
      </c>
      <c r="K103" s="27">
        <f t="shared" si="10"/>
        <v>167</v>
      </c>
      <c r="L103" s="27">
        <v>15000</v>
      </c>
      <c r="M103" s="27">
        <v>22000</v>
      </c>
      <c r="N103" s="25">
        <v>80</v>
      </c>
      <c r="P103" s="25" t="s">
        <v>157</v>
      </c>
      <c r="Q103" s="27"/>
      <c r="R103" s="27"/>
    </row>
    <row r="104" spans="1:18" s="25" customFormat="1" x14ac:dyDescent="0.25">
      <c r="A104" s="25" t="s">
        <v>27</v>
      </c>
      <c r="B104" s="25" t="s">
        <v>33</v>
      </c>
      <c r="C104" s="25">
        <v>1500</v>
      </c>
      <c r="D104" s="25">
        <v>43</v>
      </c>
      <c r="E104" s="25">
        <v>0.2</v>
      </c>
      <c r="F104" s="25">
        <v>36</v>
      </c>
      <c r="G104" s="25">
        <v>25</v>
      </c>
      <c r="H104" s="25">
        <v>150</v>
      </c>
      <c r="I104" s="25">
        <f t="shared" si="8"/>
        <v>43</v>
      </c>
      <c r="J104" s="25">
        <f t="shared" si="9"/>
        <v>43</v>
      </c>
      <c r="K104" s="27">
        <f t="shared" si="10"/>
        <v>168</v>
      </c>
      <c r="L104" s="27">
        <v>15000</v>
      </c>
      <c r="M104" s="27">
        <v>22000</v>
      </c>
      <c r="N104" s="25">
        <v>80</v>
      </c>
      <c r="P104" s="25" t="s">
        <v>158</v>
      </c>
      <c r="Q104" s="27"/>
      <c r="R104" s="27"/>
    </row>
    <row r="105" spans="1:18" s="25" customFormat="1" x14ac:dyDescent="0.25">
      <c r="A105" s="25" t="s">
        <v>27</v>
      </c>
      <c r="B105" s="25" t="s">
        <v>33</v>
      </c>
      <c r="C105" s="25">
        <v>1500</v>
      </c>
      <c r="D105" s="26">
        <v>44</v>
      </c>
      <c r="E105" s="25">
        <v>0.2</v>
      </c>
      <c r="F105" s="25">
        <v>36</v>
      </c>
      <c r="G105" s="25">
        <v>25</v>
      </c>
      <c r="H105" s="25">
        <v>150</v>
      </c>
      <c r="I105" s="25">
        <f t="shared" si="8"/>
        <v>44</v>
      </c>
      <c r="J105" s="25">
        <f t="shared" si="9"/>
        <v>44</v>
      </c>
      <c r="K105" s="27">
        <f t="shared" si="10"/>
        <v>169</v>
      </c>
      <c r="L105" s="27">
        <v>15000</v>
      </c>
      <c r="M105" s="27">
        <v>22000</v>
      </c>
      <c r="N105" s="25">
        <v>80</v>
      </c>
      <c r="P105" s="25" t="s">
        <v>159</v>
      </c>
      <c r="Q105" s="27"/>
      <c r="R105" s="27"/>
    </row>
    <row r="106" spans="1:18" s="25" customFormat="1" x14ac:dyDescent="0.25">
      <c r="A106" s="25" t="s">
        <v>27</v>
      </c>
      <c r="B106" s="25" t="s">
        <v>33</v>
      </c>
      <c r="C106" s="25">
        <v>1500</v>
      </c>
      <c r="D106" s="26">
        <v>45</v>
      </c>
      <c r="E106" s="25">
        <v>0.2</v>
      </c>
      <c r="F106" s="25">
        <v>36</v>
      </c>
      <c r="G106" s="25">
        <v>25</v>
      </c>
      <c r="H106" s="25">
        <v>150</v>
      </c>
      <c r="I106" s="25">
        <f t="shared" si="8"/>
        <v>45</v>
      </c>
      <c r="J106" s="25">
        <f t="shared" si="9"/>
        <v>45</v>
      </c>
      <c r="K106" s="27">
        <f t="shared" si="10"/>
        <v>170</v>
      </c>
      <c r="L106" s="27">
        <v>15000</v>
      </c>
      <c r="M106" s="27">
        <v>22000</v>
      </c>
      <c r="N106" s="25">
        <v>80</v>
      </c>
      <c r="P106" s="25" t="s">
        <v>160</v>
      </c>
      <c r="Q106" s="27"/>
      <c r="R106" s="27"/>
    </row>
    <row r="107" spans="1:18" s="25" customFormat="1" x14ac:dyDescent="0.25">
      <c r="A107" s="25" t="s">
        <v>27</v>
      </c>
      <c r="B107" s="25" t="s">
        <v>33</v>
      </c>
      <c r="C107" s="25">
        <v>1500</v>
      </c>
      <c r="D107" s="25">
        <v>46</v>
      </c>
      <c r="E107" s="25">
        <v>0.2</v>
      </c>
      <c r="F107" s="25">
        <v>36</v>
      </c>
      <c r="G107" s="25">
        <v>25</v>
      </c>
      <c r="H107" s="25">
        <v>150</v>
      </c>
      <c r="I107" s="25">
        <f t="shared" si="8"/>
        <v>46</v>
      </c>
      <c r="J107" s="25">
        <f t="shared" si="9"/>
        <v>46</v>
      </c>
      <c r="K107" s="27">
        <f t="shared" si="10"/>
        <v>171</v>
      </c>
      <c r="L107" s="27">
        <v>15000</v>
      </c>
      <c r="M107" s="27">
        <v>22000</v>
      </c>
      <c r="N107" s="25">
        <v>80</v>
      </c>
      <c r="P107" s="25" t="s">
        <v>161</v>
      </c>
      <c r="Q107" s="27"/>
      <c r="R107" s="27"/>
    </row>
    <row r="108" spans="1:18" s="25" customFormat="1" x14ac:dyDescent="0.25">
      <c r="A108" s="25" t="s">
        <v>27</v>
      </c>
      <c r="B108" s="25" t="s">
        <v>33</v>
      </c>
      <c r="C108" s="25">
        <v>1500</v>
      </c>
      <c r="D108" s="26">
        <v>47</v>
      </c>
      <c r="E108" s="25">
        <v>0.2</v>
      </c>
      <c r="F108" s="25">
        <v>36</v>
      </c>
      <c r="G108" s="25">
        <v>25</v>
      </c>
      <c r="H108" s="25">
        <v>150</v>
      </c>
      <c r="I108" s="25">
        <f t="shared" si="8"/>
        <v>47</v>
      </c>
      <c r="J108" s="25">
        <f t="shared" si="9"/>
        <v>47</v>
      </c>
      <c r="K108" s="27">
        <f t="shared" si="10"/>
        <v>172</v>
      </c>
      <c r="L108" s="27">
        <v>15000</v>
      </c>
      <c r="M108" s="27">
        <v>22000</v>
      </c>
      <c r="N108" s="25">
        <v>80</v>
      </c>
      <c r="P108" s="25" t="s">
        <v>162</v>
      </c>
      <c r="Q108" s="27"/>
      <c r="R108" s="27"/>
    </row>
    <row r="109" spans="1:18" s="25" customFormat="1" x14ac:dyDescent="0.25">
      <c r="A109" s="25" t="s">
        <v>27</v>
      </c>
      <c r="B109" s="25" t="s">
        <v>33</v>
      </c>
      <c r="C109" s="25">
        <v>1500</v>
      </c>
      <c r="D109" s="26">
        <v>48</v>
      </c>
      <c r="E109" s="25">
        <v>0.2</v>
      </c>
      <c r="F109" s="25">
        <v>36</v>
      </c>
      <c r="G109" s="25">
        <v>25</v>
      </c>
      <c r="H109" s="25">
        <v>150</v>
      </c>
      <c r="I109" s="25">
        <f t="shared" si="8"/>
        <v>48</v>
      </c>
      <c r="J109" s="25">
        <f t="shared" si="9"/>
        <v>48</v>
      </c>
      <c r="K109" s="27">
        <f t="shared" si="10"/>
        <v>173</v>
      </c>
      <c r="L109" s="27">
        <v>15000</v>
      </c>
      <c r="M109" s="27">
        <v>22000</v>
      </c>
      <c r="N109" s="25">
        <v>80</v>
      </c>
      <c r="P109" s="25" t="s">
        <v>163</v>
      </c>
      <c r="Q109" s="27"/>
      <c r="R109" s="27"/>
    </row>
    <row r="110" spans="1:18" s="25" customFormat="1" x14ac:dyDescent="0.25">
      <c r="A110" s="25" t="s">
        <v>27</v>
      </c>
      <c r="B110" s="25" t="s">
        <v>33</v>
      </c>
      <c r="C110" s="25">
        <v>1500</v>
      </c>
      <c r="D110" s="25">
        <v>49</v>
      </c>
      <c r="E110" s="25">
        <v>0.2</v>
      </c>
      <c r="F110" s="25">
        <v>36</v>
      </c>
      <c r="G110" s="25">
        <v>25</v>
      </c>
      <c r="H110" s="25">
        <v>150</v>
      </c>
      <c r="I110" s="25">
        <f t="shared" si="8"/>
        <v>49</v>
      </c>
      <c r="J110" s="25">
        <f t="shared" si="9"/>
        <v>49</v>
      </c>
      <c r="K110" s="27">
        <f t="shared" si="10"/>
        <v>174</v>
      </c>
      <c r="L110" s="27">
        <v>15000</v>
      </c>
      <c r="M110" s="27">
        <v>22000</v>
      </c>
      <c r="N110" s="25">
        <v>80</v>
      </c>
      <c r="P110" s="25" t="s">
        <v>164</v>
      </c>
      <c r="Q110" s="27"/>
      <c r="R110" s="27"/>
    </row>
    <row r="111" spans="1:18" s="25" customFormat="1" x14ac:dyDescent="0.25">
      <c r="A111" s="25" t="s">
        <v>27</v>
      </c>
      <c r="B111" s="25" t="s">
        <v>33</v>
      </c>
      <c r="C111" s="25">
        <v>1500</v>
      </c>
      <c r="D111" s="26">
        <v>50</v>
      </c>
      <c r="E111" s="25">
        <v>0.2</v>
      </c>
      <c r="F111" s="25">
        <v>36</v>
      </c>
      <c r="G111" s="25">
        <v>25</v>
      </c>
      <c r="H111" s="25">
        <v>150</v>
      </c>
      <c r="I111" s="25">
        <f t="shared" si="8"/>
        <v>50</v>
      </c>
      <c r="J111" s="25">
        <f t="shared" si="9"/>
        <v>50</v>
      </c>
      <c r="K111" s="27">
        <f t="shared" si="10"/>
        <v>175</v>
      </c>
      <c r="L111" s="27">
        <v>15000</v>
      </c>
      <c r="M111" s="27">
        <v>22000</v>
      </c>
      <c r="N111" s="25">
        <v>80</v>
      </c>
      <c r="P111" s="25" t="s">
        <v>165</v>
      </c>
      <c r="Q111" s="27"/>
      <c r="R111" s="27"/>
    </row>
    <row r="112" spans="1:18" s="25" customFormat="1" x14ac:dyDescent="0.25">
      <c r="A112" s="25" t="s">
        <v>27</v>
      </c>
      <c r="B112" s="25" t="s">
        <v>33</v>
      </c>
      <c r="C112" s="25">
        <v>1500</v>
      </c>
      <c r="D112" s="26">
        <v>51</v>
      </c>
      <c r="E112" s="25">
        <v>0.2</v>
      </c>
      <c r="F112" s="25">
        <v>36</v>
      </c>
      <c r="G112" s="25">
        <v>25</v>
      </c>
      <c r="H112" s="25">
        <v>150</v>
      </c>
      <c r="I112" s="25">
        <f t="shared" si="8"/>
        <v>51</v>
      </c>
      <c r="J112" s="25">
        <f t="shared" si="9"/>
        <v>51</v>
      </c>
      <c r="K112" s="27">
        <f t="shared" si="10"/>
        <v>176</v>
      </c>
      <c r="L112" s="27">
        <v>15000</v>
      </c>
      <c r="M112" s="27">
        <v>22000</v>
      </c>
      <c r="N112" s="25">
        <v>80</v>
      </c>
      <c r="P112" s="25" t="s">
        <v>166</v>
      </c>
      <c r="Q112" s="27"/>
      <c r="R112" s="27"/>
    </row>
    <row r="113" spans="1:18" s="25" customFormat="1" x14ac:dyDescent="0.25">
      <c r="A113" s="25" t="s">
        <v>27</v>
      </c>
      <c r="B113" s="25" t="s">
        <v>33</v>
      </c>
      <c r="C113" s="25">
        <v>1500</v>
      </c>
      <c r="D113" s="25">
        <v>52</v>
      </c>
      <c r="E113" s="25">
        <v>0.2</v>
      </c>
      <c r="F113" s="25">
        <v>36</v>
      </c>
      <c r="G113" s="25">
        <v>25</v>
      </c>
      <c r="H113" s="25">
        <v>150</v>
      </c>
      <c r="I113" s="25">
        <f t="shared" si="8"/>
        <v>52</v>
      </c>
      <c r="J113" s="25">
        <f t="shared" si="9"/>
        <v>52</v>
      </c>
      <c r="K113" s="27">
        <f t="shared" si="10"/>
        <v>177</v>
      </c>
      <c r="L113" s="27">
        <v>15000</v>
      </c>
      <c r="M113" s="27">
        <v>22000</v>
      </c>
      <c r="N113" s="25">
        <v>80</v>
      </c>
      <c r="P113" s="25" t="s">
        <v>167</v>
      </c>
      <c r="Q113" s="27"/>
      <c r="R113" s="27"/>
    </row>
    <row r="114" spans="1:18" s="25" customFormat="1" x14ac:dyDescent="0.25">
      <c r="A114" s="25" t="s">
        <v>27</v>
      </c>
      <c r="B114" s="25" t="s">
        <v>33</v>
      </c>
      <c r="C114" s="25">
        <v>1500</v>
      </c>
      <c r="D114" s="26">
        <v>53</v>
      </c>
      <c r="E114" s="25">
        <v>0.2</v>
      </c>
      <c r="F114" s="25">
        <v>36</v>
      </c>
      <c r="G114" s="25">
        <v>25</v>
      </c>
      <c r="H114" s="25">
        <v>150</v>
      </c>
      <c r="I114" s="25">
        <f t="shared" si="8"/>
        <v>53</v>
      </c>
      <c r="J114" s="25">
        <f t="shared" si="9"/>
        <v>53</v>
      </c>
      <c r="K114" s="27">
        <f t="shared" si="10"/>
        <v>178</v>
      </c>
      <c r="L114" s="27">
        <v>15000</v>
      </c>
      <c r="M114" s="27">
        <v>22000</v>
      </c>
      <c r="N114" s="25">
        <v>80</v>
      </c>
      <c r="P114" s="25" t="s">
        <v>168</v>
      </c>
      <c r="Q114" s="27"/>
      <c r="R114" s="27"/>
    </row>
    <row r="115" spans="1:18" s="25" customFormat="1" x14ac:dyDescent="0.25">
      <c r="A115" s="25" t="s">
        <v>27</v>
      </c>
      <c r="B115" s="25" t="s">
        <v>33</v>
      </c>
      <c r="C115" s="25">
        <v>1500</v>
      </c>
      <c r="D115" s="26">
        <v>54</v>
      </c>
      <c r="E115" s="25">
        <v>0.2</v>
      </c>
      <c r="F115" s="25">
        <v>36</v>
      </c>
      <c r="G115" s="25">
        <v>25</v>
      </c>
      <c r="H115" s="25">
        <v>150</v>
      </c>
      <c r="I115" s="25">
        <f t="shared" si="8"/>
        <v>54</v>
      </c>
      <c r="J115" s="25">
        <f t="shared" si="9"/>
        <v>54</v>
      </c>
      <c r="K115" s="27">
        <f t="shared" si="10"/>
        <v>179</v>
      </c>
      <c r="L115" s="27">
        <v>15000</v>
      </c>
      <c r="M115" s="27">
        <v>22000</v>
      </c>
      <c r="N115" s="25">
        <v>80</v>
      </c>
      <c r="P115" s="25" t="s">
        <v>169</v>
      </c>
      <c r="Q115" s="27"/>
      <c r="R115" s="27"/>
    </row>
    <row r="116" spans="1:18" s="25" customFormat="1" x14ac:dyDescent="0.25">
      <c r="A116" s="25" t="s">
        <v>27</v>
      </c>
      <c r="B116" s="25" t="s">
        <v>33</v>
      </c>
      <c r="C116" s="25">
        <v>1500</v>
      </c>
      <c r="D116" s="25">
        <v>55</v>
      </c>
      <c r="E116" s="25">
        <v>0.2</v>
      </c>
      <c r="F116" s="25">
        <v>36</v>
      </c>
      <c r="G116" s="25">
        <v>25</v>
      </c>
      <c r="H116" s="25">
        <v>150</v>
      </c>
      <c r="I116" s="25">
        <f t="shared" si="8"/>
        <v>55</v>
      </c>
      <c r="J116" s="25">
        <f t="shared" si="9"/>
        <v>55</v>
      </c>
      <c r="K116" s="27">
        <f t="shared" si="10"/>
        <v>180</v>
      </c>
      <c r="L116" s="27">
        <v>15000</v>
      </c>
      <c r="M116" s="27">
        <v>22000</v>
      </c>
      <c r="N116" s="25">
        <v>80</v>
      </c>
      <c r="P116" s="25" t="s">
        <v>170</v>
      </c>
      <c r="Q116" s="27"/>
      <c r="R116" s="27"/>
    </row>
    <row r="117" spans="1:18" s="25" customFormat="1" x14ac:dyDescent="0.25">
      <c r="A117" s="25" t="s">
        <v>27</v>
      </c>
      <c r="B117" s="25" t="s">
        <v>33</v>
      </c>
      <c r="C117" s="25">
        <v>1500</v>
      </c>
      <c r="D117" s="26">
        <v>56</v>
      </c>
      <c r="E117" s="25">
        <v>0.2</v>
      </c>
      <c r="F117" s="25">
        <v>36</v>
      </c>
      <c r="G117" s="25">
        <v>25</v>
      </c>
      <c r="H117" s="25">
        <v>150</v>
      </c>
      <c r="I117" s="25">
        <f t="shared" si="8"/>
        <v>56</v>
      </c>
      <c r="J117" s="25">
        <f t="shared" si="9"/>
        <v>56</v>
      </c>
      <c r="K117" s="27">
        <f t="shared" si="10"/>
        <v>181</v>
      </c>
      <c r="L117" s="27">
        <v>15000</v>
      </c>
      <c r="M117" s="27">
        <v>22000</v>
      </c>
      <c r="N117" s="25">
        <v>80</v>
      </c>
      <c r="P117" s="25" t="s">
        <v>171</v>
      </c>
      <c r="Q117" s="27"/>
      <c r="R117" s="27"/>
    </row>
    <row r="118" spans="1:18" s="25" customFormat="1" x14ac:dyDescent="0.25">
      <c r="A118" s="25" t="s">
        <v>27</v>
      </c>
      <c r="B118" s="25" t="s">
        <v>33</v>
      </c>
      <c r="C118" s="25">
        <v>1500</v>
      </c>
      <c r="D118" s="26">
        <v>57</v>
      </c>
      <c r="E118" s="25">
        <v>0.2</v>
      </c>
      <c r="F118" s="25">
        <v>36</v>
      </c>
      <c r="G118" s="25">
        <v>25</v>
      </c>
      <c r="H118" s="25">
        <v>150</v>
      </c>
      <c r="I118" s="25">
        <f t="shared" si="8"/>
        <v>57</v>
      </c>
      <c r="J118" s="25">
        <f t="shared" si="9"/>
        <v>57</v>
      </c>
      <c r="K118" s="27">
        <f t="shared" si="10"/>
        <v>182</v>
      </c>
      <c r="L118" s="27">
        <v>15000</v>
      </c>
      <c r="M118" s="27">
        <v>22000</v>
      </c>
      <c r="N118" s="25">
        <v>80</v>
      </c>
      <c r="P118" s="25" t="s">
        <v>172</v>
      </c>
      <c r="Q118" s="27"/>
      <c r="R118" s="27"/>
    </row>
    <row r="119" spans="1:18" s="25" customFormat="1" x14ac:dyDescent="0.25">
      <c r="A119" s="25" t="s">
        <v>27</v>
      </c>
      <c r="B119" s="25" t="s">
        <v>33</v>
      </c>
      <c r="C119" s="25">
        <v>1500</v>
      </c>
      <c r="D119" s="25">
        <v>58</v>
      </c>
      <c r="E119" s="25">
        <v>0.2</v>
      </c>
      <c r="F119" s="25">
        <v>36</v>
      </c>
      <c r="G119" s="25">
        <v>25</v>
      </c>
      <c r="H119" s="25">
        <v>150</v>
      </c>
      <c r="I119" s="25">
        <f t="shared" si="8"/>
        <v>58</v>
      </c>
      <c r="J119" s="25">
        <f t="shared" si="9"/>
        <v>58</v>
      </c>
      <c r="K119" s="27">
        <f t="shared" si="10"/>
        <v>183</v>
      </c>
      <c r="L119" s="27">
        <v>15000</v>
      </c>
      <c r="M119" s="27">
        <v>22000</v>
      </c>
      <c r="N119" s="25">
        <v>80</v>
      </c>
      <c r="P119" s="25" t="s">
        <v>173</v>
      </c>
      <c r="Q119" s="27"/>
      <c r="R119" s="27"/>
    </row>
    <row r="120" spans="1:18" s="25" customFormat="1" x14ac:dyDescent="0.25">
      <c r="A120" s="25" t="s">
        <v>27</v>
      </c>
      <c r="B120" s="25" t="s">
        <v>33</v>
      </c>
      <c r="C120" s="25">
        <v>1500</v>
      </c>
      <c r="D120" s="26">
        <v>59</v>
      </c>
      <c r="E120" s="25">
        <v>0.2</v>
      </c>
      <c r="F120" s="25">
        <v>36</v>
      </c>
      <c r="G120" s="25">
        <v>25</v>
      </c>
      <c r="H120" s="25">
        <v>150</v>
      </c>
      <c r="I120" s="25">
        <f t="shared" si="8"/>
        <v>59</v>
      </c>
      <c r="J120" s="25">
        <f t="shared" si="9"/>
        <v>59</v>
      </c>
      <c r="K120" s="27">
        <f t="shared" si="10"/>
        <v>184</v>
      </c>
      <c r="L120" s="27">
        <v>15000</v>
      </c>
      <c r="M120" s="27">
        <v>22000</v>
      </c>
      <c r="N120" s="25">
        <v>80</v>
      </c>
      <c r="P120" s="25" t="s">
        <v>174</v>
      </c>
      <c r="Q120" s="27"/>
      <c r="R120" s="27"/>
    </row>
    <row r="121" spans="1:18" s="25" customFormat="1" x14ac:dyDescent="0.25">
      <c r="A121" s="25" t="s">
        <v>27</v>
      </c>
      <c r="B121" s="25" t="s">
        <v>33</v>
      </c>
      <c r="C121" s="25">
        <v>1500</v>
      </c>
      <c r="D121" s="26">
        <v>60</v>
      </c>
      <c r="E121" s="25">
        <v>0.2</v>
      </c>
      <c r="F121" s="25">
        <v>36</v>
      </c>
      <c r="G121" s="25">
        <v>25</v>
      </c>
      <c r="H121" s="25">
        <v>150</v>
      </c>
      <c r="I121" s="25">
        <f t="shared" si="8"/>
        <v>60</v>
      </c>
      <c r="J121" s="25">
        <f t="shared" si="9"/>
        <v>60</v>
      </c>
      <c r="K121" s="27">
        <f t="shared" si="10"/>
        <v>185</v>
      </c>
      <c r="L121" s="27">
        <v>15000</v>
      </c>
      <c r="M121" s="27">
        <v>22000</v>
      </c>
      <c r="N121" s="25">
        <v>80</v>
      </c>
      <c r="P121" s="25" t="s">
        <v>175</v>
      </c>
      <c r="Q121" s="27"/>
      <c r="R121" s="27"/>
    </row>
    <row r="122" spans="1:18" s="25" customFormat="1" x14ac:dyDescent="0.25">
      <c r="A122" s="25" t="s">
        <v>27</v>
      </c>
      <c r="B122" s="25" t="s">
        <v>33</v>
      </c>
      <c r="C122" s="25">
        <v>1500</v>
      </c>
      <c r="D122" s="25">
        <v>61</v>
      </c>
      <c r="E122" s="25">
        <v>0.2</v>
      </c>
      <c r="F122" s="25">
        <v>36</v>
      </c>
      <c r="G122" s="25">
        <v>25</v>
      </c>
      <c r="H122" s="25">
        <v>150</v>
      </c>
      <c r="I122" s="25">
        <f t="shared" si="8"/>
        <v>61</v>
      </c>
      <c r="J122" s="25">
        <f t="shared" si="9"/>
        <v>61</v>
      </c>
      <c r="K122" s="27">
        <f t="shared" si="10"/>
        <v>186</v>
      </c>
      <c r="L122" s="27">
        <v>15000</v>
      </c>
      <c r="M122" s="27">
        <v>22000</v>
      </c>
      <c r="N122" s="25">
        <v>80</v>
      </c>
      <c r="P122" s="25" t="s">
        <v>176</v>
      </c>
      <c r="Q122" s="27"/>
      <c r="R122" s="27"/>
    </row>
    <row r="123" spans="1:18" s="25" customFormat="1" x14ac:dyDescent="0.25">
      <c r="A123" s="25" t="s">
        <v>27</v>
      </c>
      <c r="B123" s="25" t="s">
        <v>33</v>
      </c>
      <c r="C123" s="25">
        <v>1500</v>
      </c>
      <c r="D123" s="26">
        <v>62</v>
      </c>
      <c r="E123" s="25">
        <v>0.2</v>
      </c>
      <c r="F123" s="25">
        <v>36</v>
      </c>
      <c r="G123" s="25">
        <v>25</v>
      </c>
      <c r="H123" s="25">
        <v>150</v>
      </c>
      <c r="I123" s="25">
        <f t="shared" si="8"/>
        <v>62</v>
      </c>
      <c r="J123" s="25">
        <f t="shared" si="9"/>
        <v>62</v>
      </c>
      <c r="K123" s="27">
        <f t="shared" si="10"/>
        <v>187</v>
      </c>
      <c r="L123" s="27">
        <v>15000</v>
      </c>
      <c r="M123" s="27">
        <v>22000</v>
      </c>
      <c r="N123" s="25">
        <v>80</v>
      </c>
      <c r="P123" s="25" t="s">
        <v>177</v>
      </c>
      <c r="Q123" s="27"/>
      <c r="R123" s="27"/>
    </row>
    <row r="124" spans="1:18" s="25" customFormat="1" x14ac:dyDescent="0.25">
      <c r="A124" s="25" t="s">
        <v>27</v>
      </c>
      <c r="B124" s="25" t="s">
        <v>33</v>
      </c>
      <c r="C124" s="25">
        <v>1500</v>
      </c>
      <c r="D124" s="26">
        <v>63</v>
      </c>
      <c r="E124" s="25">
        <v>0.2</v>
      </c>
      <c r="F124" s="25">
        <v>36</v>
      </c>
      <c r="G124" s="25">
        <v>25</v>
      </c>
      <c r="H124" s="25">
        <v>150</v>
      </c>
      <c r="I124" s="25">
        <f t="shared" si="8"/>
        <v>63</v>
      </c>
      <c r="J124" s="25">
        <f t="shared" si="9"/>
        <v>63</v>
      </c>
      <c r="K124" s="27">
        <f t="shared" si="10"/>
        <v>188</v>
      </c>
      <c r="L124" s="27">
        <v>15000</v>
      </c>
      <c r="M124" s="27">
        <v>22000</v>
      </c>
      <c r="N124" s="25">
        <v>80</v>
      </c>
      <c r="P124" s="25" t="s">
        <v>178</v>
      </c>
      <c r="Q124" s="27"/>
      <c r="R124" s="27"/>
    </row>
    <row r="125" spans="1:18" s="25" customFormat="1" x14ac:dyDescent="0.25">
      <c r="A125" s="25" t="s">
        <v>27</v>
      </c>
      <c r="B125" s="25" t="s">
        <v>33</v>
      </c>
      <c r="C125" s="25">
        <v>1500</v>
      </c>
      <c r="D125" s="25">
        <v>64</v>
      </c>
      <c r="E125" s="25">
        <v>0.2</v>
      </c>
      <c r="F125" s="25">
        <v>36</v>
      </c>
      <c r="G125" s="25">
        <v>25</v>
      </c>
      <c r="H125" s="25">
        <v>150</v>
      </c>
      <c r="I125" s="25">
        <f t="shared" si="8"/>
        <v>64</v>
      </c>
      <c r="J125" s="25">
        <f t="shared" si="9"/>
        <v>64</v>
      </c>
      <c r="K125" s="27">
        <f t="shared" si="10"/>
        <v>189</v>
      </c>
      <c r="L125" s="27">
        <v>15000</v>
      </c>
      <c r="M125" s="27">
        <v>22000</v>
      </c>
      <c r="N125" s="25">
        <v>80</v>
      </c>
      <c r="P125" s="25" t="s">
        <v>179</v>
      </c>
      <c r="Q125" s="27"/>
      <c r="R125" s="27"/>
    </row>
    <row r="126" spans="1:18" s="25" customFormat="1" x14ac:dyDescent="0.25">
      <c r="A126" s="25" t="s">
        <v>27</v>
      </c>
      <c r="B126" s="25" t="s">
        <v>33</v>
      </c>
      <c r="C126" s="25">
        <v>1500</v>
      </c>
      <c r="D126" s="26">
        <v>65</v>
      </c>
      <c r="E126" s="25">
        <v>0.2</v>
      </c>
      <c r="F126" s="25">
        <v>36</v>
      </c>
      <c r="G126" s="25">
        <v>25</v>
      </c>
      <c r="H126" s="25">
        <v>150</v>
      </c>
      <c r="I126" s="25">
        <f t="shared" si="8"/>
        <v>65</v>
      </c>
      <c r="J126" s="25">
        <f t="shared" si="9"/>
        <v>65</v>
      </c>
      <c r="K126" s="27">
        <f t="shared" si="10"/>
        <v>190</v>
      </c>
      <c r="L126" s="27">
        <v>15000</v>
      </c>
      <c r="M126" s="27">
        <v>22000</v>
      </c>
      <c r="N126" s="25">
        <v>80</v>
      </c>
      <c r="P126" s="25" t="s">
        <v>180</v>
      </c>
      <c r="Q126" s="27"/>
      <c r="R126" s="27"/>
    </row>
    <row r="127" spans="1:18" s="25" customFormat="1" x14ac:dyDescent="0.25">
      <c r="A127" s="25" t="s">
        <v>27</v>
      </c>
      <c r="B127" s="25" t="s">
        <v>33</v>
      </c>
      <c r="C127" s="25">
        <v>1500</v>
      </c>
      <c r="D127" s="26">
        <v>66</v>
      </c>
      <c r="E127" s="25">
        <v>0.2</v>
      </c>
      <c r="F127" s="25">
        <v>36</v>
      </c>
      <c r="G127" s="25">
        <v>25</v>
      </c>
      <c r="H127" s="25">
        <v>150</v>
      </c>
      <c r="I127" s="25">
        <f t="shared" si="8"/>
        <v>66</v>
      </c>
      <c r="J127" s="25">
        <f t="shared" si="9"/>
        <v>66</v>
      </c>
      <c r="K127" s="27">
        <f t="shared" si="10"/>
        <v>191</v>
      </c>
      <c r="L127" s="27">
        <v>15000</v>
      </c>
      <c r="M127" s="27">
        <v>22000</v>
      </c>
      <c r="N127" s="25">
        <v>80</v>
      </c>
      <c r="P127" s="25" t="s">
        <v>181</v>
      </c>
      <c r="Q127" s="27"/>
      <c r="R127" s="27"/>
    </row>
    <row r="128" spans="1:18" s="25" customFormat="1" x14ac:dyDescent="0.25">
      <c r="A128" s="25" t="s">
        <v>27</v>
      </c>
      <c r="B128" s="25" t="s">
        <v>33</v>
      </c>
      <c r="C128" s="25">
        <v>1500</v>
      </c>
      <c r="D128" s="25">
        <v>67</v>
      </c>
      <c r="E128" s="25">
        <v>0.2</v>
      </c>
      <c r="F128" s="25">
        <v>36</v>
      </c>
      <c r="G128" s="25">
        <v>25</v>
      </c>
      <c r="H128" s="25">
        <v>150</v>
      </c>
      <c r="I128" s="25">
        <f t="shared" si="8"/>
        <v>67</v>
      </c>
      <c r="J128" s="25">
        <f t="shared" si="9"/>
        <v>67</v>
      </c>
      <c r="K128" s="27">
        <f t="shared" si="10"/>
        <v>192</v>
      </c>
      <c r="L128" s="27">
        <v>15000</v>
      </c>
      <c r="M128" s="27">
        <v>22000</v>
      </c>
      <c r="N128" s="25">
        <v>80</v>
      </c>
      <c r="P128" s="25" t="s">
        <v>182</v>
      </c>
      <c r="Q128" s="27"/>
      <c r="R128" s="27"/>
    </row>
    <row r="129" spans="1:18" s="25" customFormat="1" x14ac:dyDescent="0.25">
      <c r="A129" s="25" t="s">
        <v>27</v>
      </c>
      <c r="B129" s="25" t="s">
        <v>33</v>
      </c>
      <c r="C129" s="25">
        <v>1500</v>
      </c>
      <c r="D129" s="26">
        <v>68</v>
      </c>
      <c r="E129" s="25">
        <v>0.2</v>
      </c>
      <c r="F129" s="25">
        <v>36</v>
      </c>
      <c r="G129" s="25">
        <v>25</v>
      </c>
      <c r="H129" s="25">
        <v>150</v>
      </c>
      <c r="I129" s="25">
        <f t="shared" si="8"/>
        <v>68</v>
      </c>
      <c r="J129" s="25">
        <f t="shared" si="9"/>
        <v>68</v>
      </c>
      <c r="K129" s="27">
        <f t="shared" si="10"/>
        <v>193</v>
      </c>
      <c r="L129" s="27">
        <v>15000</v>
      </c>
      <c r="M129" s="27">
        <v>22000</v>
      </c>
      <c r="N129" s="25">
        <v>80</v>
      </c>
      <c r="P129" s="25" t="s">
        <v>183</v>
      </c>
      <c r="Q129" s="27"/>
      <c r="R129" s="27"/>
    </row>
    <row r="130" spans="1:18" s="25" customFormat="1" x14ac:dyDescent="0.25">
      <c r="A130" s="25" t="s">
        <v>27</v>
      </c>
      <c r="B130" s="25" t="s">
        <v>33</v>
      </c>
      <c r="C130" s="25">
        <v>1500</v>
      </c>
      <c r="D130" s="26">
        <v>69</v>
      </c>
      <c r="E130" s="25">
        <v>0.2</v>
      </c>
      <c r="F130" s="25">
        <v>36</v>
      </c>
      <c r="G130" s="25">
        <v>25</v>
      </c>
      <c r="H130" s="25">
        <v>150</v>
      </c>
      <c r="I130" s="25">
        <f t="shared" si="8"/>
        <v>69</v>
      </c>
      <c r="J130" s="25">
        <f t="shared" si="9"/>
        <v>69</v>
      </c>
      <c r="K130" s="27">
        <f t="shared" si="10"/>
        <v>194</v>
      </c>
      <c r="L130" s="27">
        <v>15000</v>
      </c>
      <c r="M130" s="27">
        <v>22000</v>
      </c>
      <c r="N130" s="25">
        <v>80</v>
      </c>
      <c r="P130" s="25" t="s">
        <v>184</v>
      </c>
      <c r="Q130" s="27"/>
      <c r="R130" s="27"/>
    </row>
    <row r="131" spans="1:18" s="25" customFormat="1" x14ac:dyDescent="0.25">
      <c r="A131" s="25" t="s">
        <v>27</v>
      </c>
      <c r="B131" s="25" t="s">
        <v>33</v>
      </c>
      <c r="C131" s="25">
        <v>1500</v>
      </c>
      <c r="D131" s="25">
        <v>70</v>
      </c>
      <c r="E131" s="25">
        <v>0.2</v>
      </c>
      <c r="F131" s="25">
        <v>36</v>
      </c>
      <c r="G131" s="25">
        <v>25</v>
      </c>
      <c r="H131" s="25">
        <v>150</v>
      </c>
      <c r="I131" s="25">
        <f t="shared" si="8"/>
        <v>70</v>
      </c>
      <c r="J131" s="25">
        <f t="shared" si="9"/>
        <v>70</v>
      </c>
      <c r="K131" s="27">
        <f t="shared" si="10"/>
        <v>195</v>
      </c>
      <c r="L131" s="27">
        <v>15000</v>
      </c>
      <c r="M131" s="27">
        <v>22000</v>
      </c>
      <c r="N131" s="25">
        <v>80</v>
      </c>
      <c r="P131" s="25" t="s">
        <v>185</v>
      </c>
      <c r="Q131" s="27"/>
      <c r="R131" s="27"/>
    </row>
    <row r="132" spans="1:18" s="25" customFormat="1" x14ac:dyDescent="0.25">
      <c r="A132" s="25" t="s">
        <v>27</v>
      </c>
      <c r="B132" s="25" t="s">
        <v>33</v>
      </c>
      <c r="C132" s="25">
        <v>1500</v>
      </c>
      <c r="D132" s="26">
        <v>71</v>
      </c>
      <c r="E132" s="25">
        <v>0.2</v>
      </c>
      <c r="F132" s="25">
        <v>36</v>
      </c>
      <c r="G132" s="25">
        <v>25</v>
      </c>
      <c r="H132" s="25">
        <v>150</v>
      </c>
      <c r="I132" s="25">
        <f t="shared" si="8"/>
        <v>71</v>
      </c>
      <c r="J132" s="25">
        <f t="shared" si="9"/>
        <v>71</v>
      </c>
      <c r="K132" s="27">
        <f t="shared" si="10"/>
        <v>196</v>
      </c>
      <c r="L132" s="27">
        <v>15000</v>
      </c>
      <c r="M132" s="27">
        <v>22000</v>
      </c>
      <c r="N132" s="25">
        <v>80</v>
      </c>
      <c r="P132" s="25" t="s">
        <v>186</v>
      </c>
      <c r="Q132" s="27"/>
      <c r="R132" s="27"/>
    </row>
    <row r="133" spans="1:18" s="25" customFormat="1" x14ac:dyDescent="0.25">
      <c r="A133" s="25" t="s">
        <v>27</v>
      </c>
      <c r="B133" s="25" t="s">
        <v>33</v>
      </c>
      <c r="C133" s="25">
        <v>1500</v>
      </c>
      <c r="D133" s="26">
        <v>72</v>
      </c>
      <c r="E133" s="25">
        <v>0.2</v>
      </c>
      <c r="F133" s="25">
        <v>36</v>
      </c>
      <c r="G133" s="25">
        <v>25</v>
      </c>
      <c r="H133" s="25">
        <v>150</v>
      </c>
      <c r="I133" s="25">
        <f t="shared" si="8"/>
        <v>72</v>
      </c>
      <c r="J133" s="25">
        <f t="shared" si="9"/>
        <v>72</v>
      </c>
      <c r="K133" s="27">
        <f t="shared" si="10"/>
        <v>197</v>
      </c>
      <c r="L133" s="27">
        <v>15000</v>
      </c>
      <c r="M133" s="27">
        <v>22000</v>
      </c>
      <c r="N133" s="25">
        <v>80</v>
      </c>
      <c r="P133" s="25" t="s">
        <v>187</v>
      </c>
      <c r="Q133" s="27"/>
      <c r="R133" s="27"/>
    </row>
    <row r="134" spans="1:18" s="25" customFormat="1" x14ac:dyDescent="0.25">
      <c r="A134" s="25" t="s">
        <v>27</v>
      </c>
      <c r="B134" s="25" t="s">
        <v>33</v>
      </c>
      <c r="C134" s="25">
        <v>1500</v>
      </c>
      <c r="D134" s="25">
        <v>73</v>
      </c>
      <c r="E134" s="25">
        <v>0.2</v>
      </c>
      <c r="F134" s="25">
        <v>36</v>
      </c>
      <c r="G134" s="25">
        <v>25</v>
      </c>
      <c r="H134" s="25">
        <v>150</v>
      </c>
      <c r="I134" s="25">
        <f t="shared" si="8"/>
        <v>73</v>
      </c>
      <c r="J134" s="25">
        <f t="shared" si="9"/>
        <v>73</v>
      </c>
      <c r="K134" s="27">
        <f t="shared" si="10"/>
        <v>198</v>
      </c>
      <c r="L134" s="27">
        <v>15000</v>
      </c>
      <c r="M134" s="27">
        <v>22000</v>
      </c>
      <c r="N134" s="25">
        <v>80</v>
      </c>
      <c r="P134" s="25" t="s">
        <v>188</v>
      </c>
      <c r="Q134" s="27"/>
      <c r="R134" s="27"/>
    </row>
    <row r="135" spans="1:18" s="25" customFormat="1" x14ac:dyDescent="0.25">
      <c r="A135" s="25" t="s">
        <v>27</v>
      </c>
      <c r="B135" s="25" t="s">
        <v>33</v>
      </c>
      <c r="C135" s="25">
        <v>1500</v>
      </c>
      <c r="D135" s="26">
        <v>74</v>
      </c>
      <c r="E135" s="25">
        <v>0.2</v>
      </c>
      <c r="F135" s="25">
        <v>36</v>
      </c>
      <c r="G135" s="25">
        <v>25</v>
      </c>
      <c r="H135" s="25">
        <v>150</v>
      </c>
      <c r="I135" s="25">
        <f t="shared" si="8"/>
        <v>74</v>
      </c>
      <c r="J135" s="25">
        <f t="shared" si="9"/>
        <v>74</v>
      </c>
      <c r="K135" s="27">
        <f t="shared" si="10"/>
        <v>199</v>
      </c>
      <c r="L135" s="27">
        <v>15000</v>
      </c>
      <c r="M135" s="27">
        <v>22000</v>
      </c>
      <c r="N135" s="25">
        <v>80</v>
      </c>
      <c r="P135" s="25" t="s">
        <v>189</v>
      </c>
      <c r="Q135" s="27"/>
      <c r="R135" s="27"/>
    </row>
    <row r="136" spans="1:18" s="25" customFormat="1" x14ac:dyDescent="0.25">
      <c r="A136" s="25" t="s">
        <v>27</v>
      </c>
      <c r="B136" s="25" t="s">
        <v>33</v>
      </c>
      <c r="C136" s="25">
        <v>1500</v>
      </c>
      <c r="D136" s="26">
        <v>75</v>
      </c>
      <c r="E136" s="25">
        <v>0.2</v>
      </c>
      <c r="F136" s="25">
        <v>36</v>
      </c>
      <c r="G136" s="25">
        <v>25</v>
      </c>
      <c r="H136" s="25">
        <v>150</v>
      </c>
      <c r="I136" s="25">
        <f t="shared" ref="I136:I199" si="11">D136</f>
        <v>75</v>
      </c>
      <c r="J136" s="25">
        <f t="shared" ref="J136:J199" si="12">D136</f>
        <v>75</v>
      </c>
      <c r="K136" s="27">
        <f t="shared" ref="K136:K199" si="13">125+D136</f>
        <v>200</v>
      </c>
      <c r="L136" s="27">
        <v>15000</v>
      </c>
      <c r="M136" s="27">
        <v>22000</v>
      </c>
      <c r="N136" s="25">
        <v>80</v>
      </c>
      <c r="P136" s="25" t="s">
        <v>190</v>
      </c>
      <c r="Q136" s="27"/>
      <c r="R136" s="27"/>
    </row>
    <row r="137" spans="1:18" s="25" customFormat="1" x14ac:dyDescent="0.25">
      <c r="A137" s="25" t="s">
        <v>27</v>
      </c>
      <c r="B137" s="25" t="s">
        <v>33</v>
      </c>
      <c r="C137" s="25">
        <v>1500</v>
      </c>
      <c r="D137" s="25">
        <v>76</v>
      </c>
      <c r="E137" s="25">
        <v>0.2</v>
      </c>
      <c r="F137" s="25">
        <v>36</v>
      </c>
      <c r="G137" s="25">
        <v>25</v>
      </c>
      <c r="H137" s="25">
        <v>150</v>
      </c>
      <c r="I137" s="25">
        <f t="shared" si="11"/>
        <v>76</v>
      </c>
      <c r="J137" s="25">
        <f t="shared" si="12"/>
        <v>76</v>
      </c>
      <c r="K137" s="27">
        <f t="shared" si="13"/>
        <v>201</v>
      </c>
      <c r="L137" s="27">
        <v>15000</v>
      </c>
      <c r="M137" s="27">
        <v>22000</v>
      </c>
      <c r="N137" s="25">
        <v>80</v>
      </c>
      <c r="P137" s="25" t="s">
        <v>191</v>
      </c>
      <c r="Q137" s="27"/>
      <c r="R137" s="27"/>
    </row>
    <row r="138" spans="1:18" s="25" customFormat="1" x14ac:dyDescent="0.25">
      <c r="A138" s="25" t="s">
        <v>27</v>
      </c>
      <c r="B138" s="25" t="s">
        <v>33</v>
      </c>
      <c r="C138" s="25">
        <v>1500</v>
      </c>
      <c r="D138" s="26">
        <v>77</v>
      </c>
      <c r="E138" s="25">
        <v>0.2</v>
      </c>
      <c r="F138" s="25">
        <v>36</v>
      </c>
      <c r="G138" s="25">
        <v>25</v>
      </c>
      <c r="H138" s="25">
        <v>150</v>
      </c>
      <c r="I138" s="25">
        <f t="shared" si="11"/>
        <v>77</v>
      </c>
      <c r="J138" s="25">
        <f t="shared" si="12"/>
        <v>77</v>
      </c>
      <c r="K138" s="27">
        <f t="shared" si="13"/>
        <v>202</v>
      </c>
      <c r="L138" s="27">
        <v>15000</v>
      </c>
      <c r="M138" s="27">
        <v>22000</v>
      </c>
      <c r="N138" s="25">
        <v>80</v>
      </c>
      <c r="P138" s="25" t="s">
        <v>192</v>
      </c>
      <c r="Q138" s="27"/>
      <c r="R138" s="27"/>
    </row>
    <row r="139" spans="1:18" s="25" customFormat="1" x14ac:dyDescent="0.25">
      <c r="A139" s="25" t="s">
        <v>27</v>
      </c>
      <c r="B139" s="25" t="s">
        <v>33</v>
      </c>
      <c r="C139" s="25">
        <v>1500</v>
      </c>
      <c r="D139" s="26">
        <v>78</v>
      </c>
      <c r="E139" s="25">
        <v>0.2</v>
      </c>
      <c r="F139" s="25">
        <v>36</v>
      </c>
      <c r="G139" s="25">
        <v>25</v>
      </c>
      <c r="H139" s="25">
        <v>150</v>
      </c>
      <c r="I139" s="25">
        <f t="shared" si="11"/>
        <v>78</v>
      </c>
      <c r="J139" s="25">
        <f t="shared" si="12"/>
        <v>78</v>
      </c>
      <c r="K139" s="27">
        <f t="shared" si="13"/>
        <v>203</v>
      </c>
      <c r="L139" s="27">
        <v>15000</v>
      </c>
      <c r="M139" s="27">
        <v>22000</v>
      </c>
      <c r="N139" s="25">
        <v>80</v>
      </c>
      <c r="P139" s="25" t="s">
        <v>193</v>
      </c>
      <c r="Q139" s="27"/>
      <c r="R139" s="27"/>
    </row>
    <row r="140" spans="1:18" s="25" customFormat="1" x14ac:dyDescent="0.25">
      <c r="A140" s="25" t="s">
        <v>27</v>
      </c>
      <c r="B140" s="25" t="s">
        <v>33</v>
      </c>
      <c r="C140" s="25">
        <v>1500</v>
      </c>
      <c r="D140" s="25">
        <v>79</v>
      </c>
      <c r="E140" s="25">
        <v>0.2</v>
      </c>
      <c r="F140" s="25">
        <v>36</v>
      </c>
      <c r="G140" s="25">
        <v>25</v>
      </c>
      <c r="H140" s="25">
        <v>150</v>
      </c>
      <c r="I140" s="25">
        <f t="shared" si="11"/>
        <v>79</v>
      </c>
      <c r="J140" s="25">
        <f t="shared" si="12"/>
        <v>79</v>
      </c>
      <c r="K140" s="27">
        <f t="shared" si="13"/>
        <v>204</v>
      </c>
      <c r="L140" s="27">
        <v>15000</v>
      </c>
      <c r="M140" s="27">
        <v>22000</v>
      </c>
      <c r="N140" s="25">
        <v>80</v>
      </c>
      <c r="P140" s="25" t="s">
        <v>194</v>
      </c>
      <c r="Q140" s="27"/>
      <c r="R140" s="27"/>
    </row>
    <row r="141" spans="1:18" s="25" customFormat="1" x14ac:dyDescent="0.25">
      <c r="A141" s="25" t="s">
        <v>27</v>
      </c>
      <c r="B141" s="25" t="s">
        <v>33</v>
      </c>
      <c r="C141" s="25">
        <v>1500</v>
      </c>
      <c r="D141" s="26">
        <v>80</v>
      </c>
      <c r="E141" s="25">
        <v>0.2</v>
      </c>
      <c r="F141" s="25">
        <v>36</v>
      </c>
      <c r="G141" s="25">
        <v>25</v>
      </c>
      <c r="H141" s="25">
        <v>150</v>
      </c>
      <c r="I141" s="25">
        <f t="shared" si="11"/>
        <v>80</v>
      </c>
      <c r="J141" s="25">
        <f t="shared" si="12"/>
        <v>80</v>
      </c>
      <c r="K141" s="27">
        <f t="shared" si="13"/>
        <v>205</v>
      </c>
      <c r="L141" s="27">
        <v>15000</v>
      </c>
      <c r="M141" s="27">
        <v>22000</v>
      </c>
      <c r="N141" s="25">
        <v>80</v>
      </c>
      <c r="P141" s="25" t="s">
        <v>195</v>
      </c>
      <c r="Q141" s="27"/>
      <c r="R141" s="27"/>
    </row>
    <row r="142" spans="1:18" s="25" customFormat="1" x14ac:dyDescent="0.25">
      <c r="A142" s="25" t="s">
        <v>27</v>
      </c>
      <c r="B142" s="25" t="s">
        <v>33</v>
      </c>
      <c r="C142" s="25">
        <v>1500</v>
      </c>
      <c r="D142" s="26">
        <v>81</v>
      </c>
      <c r="E142" s="25">
        <v>0.2</v>
      </c>
      <c r="F142" s="25">
        <v>36</v>
      </c>
      <c r="G142" s="25">
        <v>25</v>
      </c>
      <c r="H142" s="25">
        <v>150</v>
      </c>
      <c r="I142" s="25">
        <f t="shared" si="11"/>
        <v>81</v>
      </c>
      <c r="J142" s="25">
        <f t="shared" si="12"/>
        <v>81</v>
      </c>
      <c r="K142" s="27">
        <f t="shared" si="13"/>
        <v>206</v>
      </c>
      <c r="L142" s="27">
        <v>15000</v>
      </c>
      <c r="M142" s="27">
        <v>22000</v>
      </c>
      <c r="N142" s="25">
        <v>80</v>
      </c>
      <c r="P142" s="25" t="s">
        <v>196</v>
      </c>
      <c r="Q142" s="27"/>
      <c r="R142" s="27"/>
    </row>
    <row r="143" spans="1:18" s="25" customFormat="1" x14ac:dyDescent="0.25">
      <c r="A143" s="25" t="s">
        <v>27</v>
      </c>
      <c r="B143" s="25" t="s">
        <v>33</v>
      </c>
      <c r="C143" s="25">
        <v>1500</v>
      </c>
      <c r="D143" s="25">
        <v>82</v>
      </c>
      <c r="E143" s="25">
        <v>0.2</v>
      </c>
      <c r="F143" s="25">
        <v>36</v>
      </c>
      <c r="G143" s="25">
        <v>25</v>
      </c>
      <c r="H143" s="25">
        <v>150</v>
      </c>
      <c r="I143" s="25">
        <f t="shared" si="11"/>
        <v>82</v>
      </c>
      <c r="J143" s="25">
        <f t="shared" si="12"/>
        <v>82</v>
      </c>
      <c r="K143" s="27">
        <f t="shared" si="13"/>
        <v>207</v>
      </c>
      <c r="L143" s="27">
        <v>15000</v>
      </c>
      <c r="M143" s="27">
        <v>22000</v>
      </c>
      <c r="N143" s="25">
        <v>80</v>
      </c>
      <c r="P143" s="25" t="s">
        <v>197</v>
      </c>
      <c r="Q143" s="27"/>
      <c r="R143" s="27"/>
    </row>
    <row r="144" spans="1:18" s="25" customFormat="1" x14ac:dyDescent="0.25">
      <c r="A144" s="25" t="s">
        <v>27</v>
      </c>
      <c r="B144" s="25" t="s">
        <v>33</v>
      </c>
      <c r="C144" s="25">
        <v>1500</v>
      </c>
      <c r="D144" s="26">
        <v>83</v>
      </c>
      <c r="E144" s="25">
        <v>0.2</v>
      </c>
      <c r="F144" s="25">
        <v>36</v>
      </c>
      <c r="G144" s="25">
        <v>25</v>
      </c>
      <c r="H144" s="25">
        <v>150</v>
      </c>
      <c r="I144" s="25">
        <f t="shared" si="11"/>
        <v>83</v>
      </c>
      <c r="J144" s="25">
        <f t="shared" si="12"/>
        <v>83</v>
      </c>
      <c r="K144" s="27">
        <f t="shared" si="13"/>
        <v>208</v>
      </c>
      <c r="L144" s="27">
        <v>15000</v>
      </c>
      <c r="M144" s="27">
        <v>22000</v>
      </c>
      <c r="N144" s="25">
        <v>80</v>
      </c>
      <c r="P144" s="25" t="s">
        <v>198</v>
      </c>
      <c r="Q144" s="27"/>
      <c r="R144" s="27"/>
    </row>
    <row r="145" spans="1:18" s="25" customFormat="1" x14ac:dyDescent="0.25">
      <c r="A145" s="25" t="s">
        <v>27</v>
      </c>
      <c r="B145" s="25" t="s">
        <v>33</v>
      </c>
      <c r="C145" s="25">
        <v>1500</v>
      </c>
      <c r="D145" s="26">
        <v>84</v>
      </c>
      <c r="E145" s="25">
        <v>0.2</v>
      </c>
      <c r="F145" s="25">
        <v>36</v>
      </c>
      <c r="G145" s="25">
        <v>25</v>
      </c>
      <c r="H145" s="25">
        <v>150</v>
      </c>
      <c r="I145" s="25">
        <f t="shared" si="11"/>
        <v>84</v>
      </c>
      <c r="J145" s="25">
        <f t="shared" si="12"/>
        <v>84</v>
      </c>
      <c r="K145" s="27">
        <f t="shared" si="13"/>
        <v>209</v>
      </c>
      <c r="L145" s="27">
        <v>15000</v>
      </c>
      <c r="M145" s="27">
        <v>22000</v>
      </c>
      <c r="N145" s="25">
        <v>80</v>
      </c>
      <c r="P145" s="25" t="s">
        <v>199</v>
      </c>
      <c r="Q145" s="27"/>
      <c r="R145" s="27"/>
    </row>
    <row r="146" spans="1:18" s="25" customFormat="1" x14ac:dyDescent="0.25">
      <c r="A146" s="25" t="s">
        <v>27</v>
      </c>
      <c r="B146" s="25" t="s">
        <v>33</v>
      </c>
      <c r="C146" s="25">
        <v>1500</v>
      </c>
      <c r="D146" s="25">
        <v>85</v>
      </c>
      <c r="E146" s="25">
        <v>0.2</v>
      </c>
      <c r="F146" s="25">
        <v>36</v>
      </c>
      <c r="G146" s="25">
        <v>25</v>
      </c>
      <c r="H146" s="25">
        <v>150</v>
      </c>
      <c r="I146" s="25">
        <f t="shared" si="11"/>
        <v>85</v>
      </c>
      <c r="J146" s="25">
        <f t="shared" si="12"/>
        <v>85</v>
      </c>
      <c r="K146" s="27">
        <f t="shared" si="13"/>
        <v>210</v>
      </c>
      <c r="L146" s="27">
        <v>15000</v>
      </c>
      <c r="M146" s="27">
        <v>22000</v>
      </c>
      <c r="N146" s="25">
        <v>80</v>
      </c>
      <c r="P146" s="25" t="s">
        <v>200</v>
      </c>
      <c r="Q146" s="27"/>
      <c r="R146" s="27"/>
    </row>
    <row r="147" spans="1:18" s="25" customFormat="1" x14ac:dyDescent="0.25">
      <c r="A147" s="25" t="s">
        <v>27</v>
      </c>
      <c r="B147" s="25" t="s">
        <v>33</v>
      </c>
      <c r="C147" s="25">
        <v>1500</v>
      </c>
      <c r="D147" s="26">
        <v>86</v>
      </c>
      <c r="E147" s="25">
        <v>0.2</v>
      </c>
      <c r="F147" s="25">
        <v>36</v>
      </c>
      <c r="G147" s="25">
        <v>25</v>
      </c>
      <c r="H147" s="25">
        <v>150</v>
      </c>
      <c r="I147" s="25">
        <f t="shared" si="11"/>
        <v>86</v>
      </c>
      <c r="J147" s="25">
        <f t="shared" si="12"/>
        <v>86</v>
      </c>
      <c r="K147" s="27">
        <f t="shared" si="13"/>
        <v>211</v>
      </c>
      <c r="L147" s="27">
        <v>15000</v>
      </c>
      <c r="M147" s="27">
        <v>22000</v>
      </c>
      <c r="N147" s="25">
        <v>80</v>
      </c>
      <c r="P147" s="25" t="s">
        <v>201</v>
      </c>
      <c r="Q147" s="27"/>
      <c r="R147" s="27"/>
    </row>
    <row r="148" spans="1:18" s="25" customFormat="1" x14ac:dyDescent="0.25">
      <c r="A148" s="25" t="s">
        <v>27</v>
      </c>
      <c r="B148" s="25" t="s">
        <v>33</v>
      </c>
      <c r="C148" s="25">
        <v>1500</v>
      </c>
      <c r="D148" s="26">
        <v>87</v>
      </c>
      <c r="E148" s="25">
        <v>0.2</v>
      </c>
      <c r="F148" s="25">
        <v>36</v>
      </c>
      <c r="G148" s="25">
        <v>25</v>
      </c>
      <c r="H148" s="25">
        <v>150</v>
      </c>
      <c r="I148" s="25">
        <f t="shared" si="11"/>
        <v>87</v>
      </c>
      <c r="J148" s="25">
        <f t="shared" si="12"/>
        <v>87</v>
      </c>
      <c r="K148" s="27">
        <f t="shared" si="13"/>
        <v>212</v>
      </c>
      <c r="L148" s="27">
        <v>15000</v>
      </c>
      <c r="M148" s="27">
        <v>22000</v>
      </c>
      <c r="N148" s="25">
        <v>80</v>
      </c>
      <c r="P148" s="25" t="s">
        <v>202</v>
      </c>
      <c r="Q148" s="27"/>
      <c r="R148" s="27"/>
    </row>
    <row r="149" spans="1:18" s="25" customFormat="1" x14ac:dyDescent="0.25">
      <c r="A149" s="25" t="s">
        <v>27</v>
      </c>
      <c r="B149" s="25" t="s">
        <v>33</v>
      </c>
      <c r="C149" s="25">
        <v>1500</v>
      </c>
      <c r="D149" s="25">
        <v>88</v>
      </c>
      <c r="E149" s="25">
        <v>0.2</v>
      </c>
      <c r="F149" s="25">
        <v>36</v>
      </c>
      <c r="G149" s="25">
        <v>25</v>
      </c>
      <c r="H149" s="25">
        <v>150</v>
      </c>
      <c r="I149" s="25">
        <f t="shared" si="11"/>
        <v>88</v>
      </c>
      <c r="J149" s="25">
        <f t="shared" si="12"/>
        <v>88</v>
      </c>
      <c r="K149" s="27">
        <f t="shared" si="13"/>
        <v>213</v>
      </c>
      <c r="L149" s="27">
        <v>15000</v>
      </c>
      <c r="M149" s="27">
        <v>22000</v>
      </c>
      <c r="N149" s="25">
        <v>80</v>
      </c>
      <c r="P149" s="25" t="s">
        <v>203</v>
      </c>
      <c r="Q149" s="27"/>
      <c r="R149" s="27"/>
    </row>
    <row r="150" spans="1:18" s="25" customFormat="1" x14ac:dyDescent="0.25">
      <c r="A150" s="25" t="s">
        <v>27</v>
      </c>
      <c r="B150" s="25" t="s">
        <v>33</v>
      </c>
      <c r="C150" s="25">
        <v>1500</v>
      </c>
      <c r="D150" s="26">
        <v>89</v>
      </c>
      <c r="E150" s="25">
        <v>0.2</v>
      </c>
      <c r="F150" s="25">
        <v>36</v>
      </c>
      <c r="G150" s="25">
        <v>25</v>
      </c>
      <c r="H150" s="25">
        <v>150</v>
      </c>
      <c r="I150" s="25">
        <f t="shared" si="11"/>
        <v>89</v>
      </c>
      <c r="J150" s="25">
        <f t="shared" si="12"/>
        <v>89</v>
      </c>
      <c r="K150" s="27">
        <f t="shared" si="13"/>
        <v>214</v>
      </c>
      <c r="L150" s="27">
        <v>15000</v>
      </c>
      <c r="M150" s="27">
        <v>22000</v>
      </c>
      <c r="N150" s="25">
        <v>80</v>
      </c>
      <c r="P150" s="25" t="s">
        <v>204</v>
      </c>
      <c r="Q150" s="27"/>
      <c r="R150" s="27"/>
    </row>
    <row r="151" spans="1:18" s="25" customFormat="1" x14ac:dyDescent="0.25">
      <c r="A151" s="25" t="s">
        <v>27</v>
      </c>
      <c r="B151" s="25" t="s">
        <v>33</v>
      </c>
      <c r="C151" s="25">
        <v>1500</v>
      </c>
      <c r="D151" s="26">
        <v>90</v>
      </c>
      <c r="E151" s="25">
        <v>0.2</v>
      </c>
      <c r="F151" s="25">
        <v>36</v>
      </c>
      <c r="G151" s="25">
        <v>25</v>
      </c>
      <c r="H151" s="25">
        <v>150</v>
      </c>
      <c r="I151" s="25">
        <f t="shared" si="11"/>
        <v>90</v>
      </c>
      <c r="J151" s="25">
        <f t="shared" si="12"/>
        <v>90</v>
      </c>
      <c r="K151" s="27">
        <f t="shared" si="13"/>
        <v>215</v>
      </c>
      <c r="L151" s="27">
        <v>15000</v>
      </c>
      <c r="M151" s="27">
        <v>22000</v>
      </c>
      <c r="N151" s="25">
        <v>80</v>
      </c>
      <c r="P151" s="25" t="s">
        <v>205</v>
      </c>
      <c r="Q151" s="27"/>
      <c r="R151" s="27"/>
    </row>
    <row r="152" spans="1:18" s="25" customFormat="1" x14ac:dyDescent="0.25">
      <c r="A152" s="25" t="s">
        <v>27</v>
      </c>
      <c r="B152" s="25" t="s">
        <v>33</v>
      </c>
      <c r="C152" s="25">
        <v>1500</v>
      </c>
      <c r="D152" s="25">
        <v>91</v>
      </c>
      <c r="E152" s="25">
        <v>0.2</v>
      </c>
      <c r="F152" s="25">
        <v>36</v>
      </c>
      <c r="G152" s="25">
        <v>25</v>
      </c>
      <c r="H152" s="25">
        <v>150</v>
      </c>
      <c r="I152" s="25">
        <f t="shared" si="11"/>
        <v>91</v>
      </c>
      <c r="J152" s="25">
        <f t="shared" si="12"/>
        <v>91</v>
      </c>
      <c r="K152" s="27">
        <f t="shared" si="13"/>
        <v>216</v>
      </c>
      <c r="L152" s="27">
        <v>15000</v>
      </c>
      <c r="M152" s="27">
        <v>22000</v>
      </c>
      <c r="N152" s="25">
        <v>80</v>
      </c>
      <c r="P152" s="25" t="s">
        <v>206</v>
      </c>
      <c r="Q152" s="27"/>
      <c r="R152" s="27"/>
    </row>
    <row r="153" spans="1:18" s="25" customFormat="1" x14ac:dyDescent="0.25">
      <c r="A153" s="25" t="s">
        <v>27</v>
      </c>
      <c r="B153" s="25" t="s">
        <v>33</v>
      </c>
      <c r="C153" s="25">
        <v>1500</v>
      </c>
      <c r="D153" s="26">
        <v>92</v>
      </c>
      <c r="E153" s="25">
        <v>0.2</v>
      </c>
      <c r="F153" s="25">
        <v>36</v>
      </c>
      <c r="G153" s="25">
        <v>25</v>
      </c>
      <c r="H153" s="25">
        <v>150</v>
      </c>
      <c r="I153" s="25">
        <f t="shared" si="11"/>
        <v>92</v>
      </c>
      <c r="J153" s="25">
        <f t="shared" si="12"/>
        <v>92</v>
      </c>
      <c r="K153" s="27">
        <f t="shared" si="13"/>
        <v>217</v>
      </c>
      <c r="L153" s="27">
        <v>15000</v>
      </c>
      <c r="M153" s="27">
        <v>22000</v>
      </c>
      <c r="N153" s="25">
        <v>80</v>
      </c>
      <c r="P153" s="25" t="s">
        <v>207</v>
      </c>
      <c r="Q153" s="27"/>
      <c r="R153" s="27"/>
    </row>
    <row r="154" spans="1:18" s="25" customFormat="1" x14ac:dyDescent="0.25">
      <c r="A154" s="25" t="s">
        <v>27</v>
      </c>
      <c r="B154" s="25" t="s">
        <v>33</v>
      </c>
      <c r="C154" s="25">
        <v>1500</v>
      </c>
      <c r="D154" s="26">
        <v>93</v>
      </c>
      <c r="E154" s="25">
        <v>0.2</v>
      </c>
      <c r="F154" s="25">
        <v>36</v>
      </c>
      <c r="G154" s="25">
        <v>25</v>
      </c>
      <c r="H154" s="25">
        <v>150</v>
      </c>
      <c r="I154" s="25">
        <f t="shared" si="11"/>
        <v>93</v>
      </c>
      <c r="J154" s="25">
        <f t="shared" si="12"/>
        <v>93</v>
      </c>
      <c r="K154" s="27">
        <f t="shared" si="13"/>
        <v>218</v>
      </c>
      <c r="L154" s="27">
        <v>15000</v>
      </c>
      <c r="M154" s="27">
        <v>22000</v>
      </c>
      <c r="N154" s="25">
        <v>80</v>
      </c>
      <c r="P154" s="25" t="s">
        <v>208</v>
      </c>
      <c r="Q154" s="27"/>
      <c r="R154" s="27"/>
    </row>
    <row r="155" spans="1:18" s="25" customFormat="1" x14ac:dyDescent="0.25">
      <c r="A155" s="25" t="s">
        <v>27</v>
      </c>
      <c r="B155" s="25" t="s">
        <v>33</v>
      </c>
      <c r="C155" s="25">
        <v>1500</v>
      </c>
      <c r="D155" s="25">
        <v>94</v>
      </c>
      <c r="E155" s="25">
        <v>0.2</v>
      </c>
      <c r="F155" s="25">
        <v>36</v>
      </c>
      <c r="G155" s="25">
        <v>25</v>
      </c>
      <c r="H155" s="25">
        <v>150</v>
      </c>
      <c r="I155" s="25">
        <f t="shared" si="11"/>
        <v>94</v>
      </c>
      <c r="J155" s="25">
        <f t="shared" si="12"/>
        <v>94</v>
      </c>
      <c r="K155" s="27">
        <f t="shared" si="13"/>
        <v>219</v>
      </c>
      <c r="L155" s="27">
        <v>15000</v>
      </c>
      <c r="M155" s="27">
        <v>22000</v>
      </c>
      <c r="N155" s="25">
        <v>80</v>
      </c>
      <c r="P155" s="25" t="s">
        <v>209</v>
      </c>
      <c r="Q155" s="27"/>
      <c r="R155" s="27"/>
    </row>
    <row r="156" spans="1:18" s="25" customFormat="1" x14ac:dyDescent="0.25">
      <c r="A156" s="25" t="s">
        <v>27</v>
      </c>
      <c r="B156" s="25" t="s">
        <v>33</v>
      </c>
      <c r="C156" s="25">
        <v>1500</v>
      </c>
      <c r="D156" s="26">
        <v>95</v>
      </c>
      <c r="E156" s="25">
        <v>0.2</v>
      </c>
      <c r="F156" s="25">
        <v>36</v>
      </c>
      <c r="G156" s="25">
        <v>25</v>
      </c>
      <c r="H156" s="25">
        <v>150</v>
      </c>
      <c r="I156" s="25">
        <f t="shared" si="11"/>
        <v>95</v>
      </c>
      <c r="J156" s="25">
        <f t="shared" si="12"/>
        <v>95</v>
      </c>
      <c r="K156" s="27">
        <f t="shared" si="13"/>
        <v>220</v>
      </c>
      <c r="L156" s="27">
        <v>15000</v>
      </c>
      <c r="M156" s="27">
        <v>22000</v>
      </c>
      <c r="N156" s="25">
        <v>80</v>
      </c>
      <c r="P156" s="25" t="s">
        <v>210</v>
      </c>
      <c r="Q156" s="27"/>
      <c r="R156" s="27"/>
    </row>
    <row r="157" spans="1:18" s="25" customFormat="1" x14ac:dyDescent="0.25">
      <c r="A157" s="25" t="s">
        <v>27</v>
      </c>
      <c r="B157" s="25" t="s">
        <v>33</v>
      </c>
      <c r="C157" s="25">
        <v>1500</v>
      </c>
      <c r="D157" s="26">
        <v>96</v>
      </c>
      <c r="E157" s="25">
        <v>0.2</v>
      </c>
      <c r="F157" s="25">
        <v>36</v>
      </c>
      <c r="G157" s="25">
        <v>25</v>
      </c>
      <c r="H157" s="25">
        <v>150</v>
      </c>
      <c r="I157" s="25">
        <f t="shared" si="11"/>
        <v>96</v>
      </c>
      <c r="J157" s="25">
        <f t="shared" si="12"/>
        <v>96</v>
      </c>
      <c r="K157" s="27">
        <f t="shared" si="13"/>
        <v>221</v>
      </c>
      <c r="L157" s="27">
        <v>15000</v>
      </c>
      <c r="M157" s="27">
        <v>22000</v>
      </c>
      <c r="N157" s="25">
        <v>80</v>
      </c>
      <c r="P157" s="25" t="s">
        <v>211</v>
      </c>
      <c r="Q157" s="27"/>
      <c r="R157" s="27"/>
    </row>
    <row r="158" spans="1:18" s="25" customFormat="1" x14ac:dyDescent="0.25">
      <c r="A158" s="25" t="s">
        <v>27</v>
      </c>
      <c r="B158" s="25" t="s">
        <v>33</v>
      </c>
      <c r="C158" s="25">
        <v>1500</v>
      </c>
      <c r="D158" s="25">
        <v>97</v>
      </c>
      <c r="E158" s="25">
        <v>0.2</v>
      </c>
      <c r="F158" s="25">
        <v>36</v>
      </c>
      <c r="G158" s="25">
        <v>25</v>
      </c>
      <c r="H158" s="25">
        <v>150</v>
      </c>
      <c r="I158" s="25">
        <f t="shared" si="11"/>
        <v>97</v>
      </c>
      <c r="J158" s="25">
        <f t="shared" si="12"/>
        <v>97</v>
      </c>
      <c r="K158" s="27">
        <f t="shared" si="13"/>
        <v>222</v>
      </c>
      <c r="L158" s="27">
        <v>15000</v>
      </c>
      <c r="M158" s="27">
        <v>22000</v>
      </c>
      <c r="N158" s="25">
        <v>80</v>
      </c>
      <c r="P158" s="25" t="s">
        <v>212</v>
      </c>
      <c r="Q158" s="27"/>
      <c r="R158" s="27"/>
    </row>
    <row r="159" spans="1:18" s="25" customFormat="1" x14ac:dyDescent="0.25">
      <c r="A159" s="25" t="s">
        <v>27</v>
      </c>
      <c r="B159" s="25" t="s">
        <v>33</v>
      </c>
      <c r="C159" s="25">
        <v>1500</v>
      </c>
      <c r="D159" s="26">
        <v>98</v>
      </c>
      <c r="E159" s="25">
        <v>0.2</v>
      </c>
      <c r="F159" s="25">
        <v>36</v>
      </c>
      <c r="G159" s="25">
        <v>25</v>
      </c>
      <c r="H159" s="25">
        <v>150</v>
      </c>
      <c r="I159" s="25">
        <f t="shared" si="11"/>
        <v>98</v>
      </c>
      <c r="J159" s="25">
        <f t="shared" si="12"/>
        <v>98</v>
      </c>
      <c r="K159" s="27">
        <f t="shared" si="13"/>
        <v>223</v>
      </c>
      <c r="L159" s="27">
        <v>15000</v>
      </c>
      <c r="M159" s="27">
        <v>22000</v>
      </c>
      <c r="N159" s="25">
        <v>80</v>
      </c>
      <c r="P159" s="25" t="s">
        <v>213</v>
      </c>
      <c r="Q159" s="27"/>
      <c r="R159" s="27"/>
    </row>
    <row r="160" spans="1:18" s="25" customFormat="1" x14ac:dyDescent="0.25">
      <c r="A160" s="25" t="s">
        <v>27</v>
      </c>
      <c r="B160" s="25" t="s">
        <v>33</v>
      </c>
      <c r="C160" s="25">
        <v>1500</v>
      </c>
      <c r="D160" s="26">
        <v>99</v>
      </c>
      <c r="E160" s="25">
        <v>0.2</v>
      </c>
      <c r="F160" s="25">
        <v>36</v>
      </c>
      <c r="G160" s="25">
        <v>25</v>
      </c>
      <c r="H160" s="25">
        <v>150</v>
      </c>
      <c r="I160" s="25">
        <f t="shared" si="11"/>
        <v>99</v>
      </c>
      <c r="J160" s="25">
        <f t="shared" si="12"/>
        <v>99</v>
      </c>
      <c r="K160" s="27">
        <f t="shared" si="13"/>
        <v>224</v>
      </c>
      <c r="L160" s="27">
        <v>15000</v>
      </c>
      <c r="M160" s="27">
        <v>22000</v>
      </c>
      <c r="N160" s="25">
        <v>80</v>
      </c>
      <c r="P160" s="25" t="s">
        <v>214</v>
      </c>
      <c r="Q160" s="27"/>
      <c r="R160" s="27"/>
    </row>
    <row r="161" spans="1:18" s="25" customFormat="1" x14ac:dyDescent="0.25">
      <c r="A161" s="25" t="s">
        <v>27</v>
      </c>
      <c r="B161" s="25" t="s">
        <v>33</v>
      </c>
      <c r="C161" s="25">
        <v>1500</v>
      </c>
      <c r="D161" s="25">
        <v>100</v>
      </c>
      <c r="E161" s="25">
        <v>0.2</v>
      </c>
      <c r="F161" s="25">
        <v>36</v>
      </c>
      <c r="G161" s="25">
        <v>25</v>
      </c>
      <c r="H161" s="25">
        <v>150</v>
      </c>
      <c r="I161" s="25">
        <f t="shared" si="11"/>
        <v>100</v>
      </c>
      <c r="J161" s="25">
        <f t="shared" si="12"/>
        <v>100</v>
      </c>
      <c r="K161" s="27">
        <f t="shared" si="13"/>
        <v>225</v>
      </c>
      <c r="L161" s="27">
        <v>15000</v>
      </c>
      <c r="M161" s="27">
        <v>22000</v>
      </c>
      <c r="N161" s="25">
        <v>80</v>
      </c>
      <c r="P161" s="25" t="s">
        <v>215</v>
      </c>
      <c r="Q161" s="27"/>
      <c r="R161" s="27"/>
    </row>
    <row r="162" spans="1:18" s="25" customFormat="1" x14ac:dyDescent="0.25">
      <c r="A162" s="25" t="s">
        <v>27</v>
      </c>
      <c r="B162" s="25" t="s">
        <v>33</v>
      </c>
      <c r="C162" s="25">
        <v>1500</v>
      </c>
      <c r="D162" s="26">
        <v>101</v>
      </c>
      <c r="E162" s="25">
        <v>0.2</v>
      </c>
      <c r="F162" s="25">
        <v>36</v>
      </c>
      <c r="G162" s="25">
        <v>25</v>
      </c>
      <c r="H162" s="25">
        <v>150</v>
      </c>
      <c r="I162" s="25">
        <f t="shared" si="11"/>
        <v>101</v>
      </c>
      <c r="J162" s="25">
        <f t="shared" si="12"/>
        <v>101</v>
      </c>
      <c r="K162" s="27">
        <f t="shared" si="13"/>
        <v>226</v>
      </c>
      <c r="L162" s="27">
        <v>15000</v>
      </c>
      <c r="M162" s="27">
        <v>22000</v>
      </c>
      <c r="N162" s="25">
        <v>80</v>
      </c>
      <c r="P162" s="25" t="s">
        <v>216</v>
      </c>
      <c r="Q162" s="27"/>
      <c r="R162" s="27"/>
    </row>
    <row r="163" spans="1:18" s="25" customFormat="1" x14ac:dyDescent="0.25">
      <c r="A163" s="25" t="s">
        <v>27</v>
      </c>
      <c r="B163" s="25" t="s">
        <v>33</v>
      </c>
      <c r="C163" s="25">
        <v>1500</v>
      </c>
      <c r="D163" s="26">
        <v>102</v>
      </c>
      <c r="E163" s="25">
        <v>0.2</v>
      </c>
      <c r="F163" s="25">
        <v>36</v>
      </c>
      <c r="G163" s="25">
        <v>25</v>
      </c>
      <c r="H163" s="25">
        <v>150</v>
      </c>
      <c r="I163" s="25">
        <f t="shared" si="11"/>
        <v>102</v>
      </c>
      <c r="J163" s="25">
        <f t="shared" si="12"/>
        <v>102</v>
      </c>
      <c r="K163" s="27">
        <f t="shared" si="13"/>
        <v>227</v>
      </c>
      <c r="L163" s="27">
        <v>15000</v>
      </c>
      <c r="M163" s="27">
        <v>22000</v>
      </c>
      <c r="N163" s="25">
        <v>80</v>
      </c>
      <c r="P163" s="25" t="s">
        <v>217</v>
      </c>
      <c r="Q163" s="27"/>
      <c r="R163" s="27"/>
    </row>
    <row r="164" spans="1:18" s="25" customFormat="1" x14ac:dyDescent="0.25">
      <c r="A164" s="25" t="s">
        <v>27</v>
      </c>
      <c r="B164" s="25" t="s">
        <v>33</v>
      </c>
      <c r="C164" s="25">
        <v>1500</v>
      </c>
      <c r="D164" s="25">
        <v>103</v>
      </c>
      <c r="E164" s="25">
        <v>0.2</v>
      </c>
      <c r="F164" s="25">
        <v>36</v>
      </c>
      <c r="G164" s="25">
        <v>25</v>
      </c>
      <c r="H164" s="25">
        <v>150</v>
      </c>
      <c r="I164" s="25">
        <f t="shared" si="11"/>
        <v>103</v>
      </c>
      <c r="J164" s="25">
        <f t="shared" si="12"/>
        <v>103</v>
      </c>
      <c r="K164" s="27">
        <f t="shared" si="13"/>
        <v>228</v>
      </c>
      <c r="L164" s="27">
        <v>15000</v>
      </c>
      <c r="M164" s="27">
        <v>22000</v>
      </c>
      <c r="N164" s="25">
        <v>80</v>
      </c>
      <c r="P164" s="25" t="s">
        <v>218</v>
      </c>
      <c r="Q164" s="27"/>
      <c r="R164" s="27"/>
    </row>
    <row r="165" spans="1:18" s="25" customFormat="1" x14ac:dyDescent="0.25">
      <c r="A165" s="25" t="s">
        <v>27</v>
      </c>
      <c r="B165" s="25" t="s">
        <v>33</v>
      </c>
      <c r="C165" s="25">
        <v>1500</v>
      </c>
      <c r="D165" s="26">
        <v>104</v>
      </c>
      <c r="E165" s="25">
        <v>0.2</v>
      </c>
      <c r="F165" s="25">
        <v>36</v>
      </c>
      <c r="G165" s="25">
        <v>25</v>
      </c>
      <c r="H165" s="25">
        <v>150</v>
      </c>
      <c r="I165" s="25">
        <f t="shared" si="11"/>
        <v>104</v>
      </c>
      <c r="J165" s="25">
        <f t="shared" si="12"/>
        <v>104</v>
      </c>
      <c r="K165" s="27">
        <f t="shared" si="13"/>
        <v>229</v>
      </c>
      <c r="L165" s="27">
        <v>15000</v>
      </c>
      <c r="M165" s="27">
        <v>22000</v>
      </c>
      <c r="N165" s="25">
        <v>80</v>
      </c>
      <c r="P165" s="25" t="s">
        <v>219</v>
      </c>
      <c r="Q165" s="27"/>
      <c r="R165" s="27"/>
    </row>
    <row r="166" spans="1:18" s="25" customFormat="1" x14ac:dyDescent="0.25">
      <c r="A166" s="25" t="s">
        <v>27</v>
      </c>
      <c r="B166" s="25" t="s">
        <v>33</v>
      </c>
      <c r="C166" s="25">
        <v>1500</v>
      </c>
      <c r="D166" s="26">
        <v>105</v>
      </c>
      <c r="E166" s="25">
        <v>0.2</v>
      </c>
      <c r="F166" s="25">
        <v>36</v>
      </c>
      <c r="G166" s="25">
        <v>25</v>
      </c>
      <c r="H166" s="25">
        <v>150</v>
      </c>
      <c r="I166" s="25">
        <f t="shared" si="11"/>
        <v>105</v>
      </c>
      <c r="J166" s="25">
        <f t="shared" si="12"/>
        <v>105</v>
      </c>
      <c r="K166" s="27">
        <f t="shared" si="13"/>
        <v>230</v>
      </c>
      <c r="L166" s="27">
        <v>15000</v>
      </c>
      <c r="M166" s="27">
        <v>22000</v>
      </c>
      <c r="N166" s="25">
        <v>80</v>
      </c>
      <c r="P166" s="25" t="s">
        <v>220</v>
      </c>
      <c r="Q166" s="27"/>
      <c r="R166" s="27"/>
    </row>
    <row r="167" spans="1:18" s="25" customFormat="1" x14ac:dyDescent="0.25">
      <c r="A167" s="25" t="s">
        <v>27</v>
      </c>
      <c r="B167" s="25" t="s">
        <v>33</v>
      </c>
      <c r="C167" s="25">
        <v>1500</v>
      </c>
      <c r="D167" s="25">
        <v>106</v>
      </c>
      <c r="E167" s="25">
        <v>0.2</v>
      </c>
      <c r="F167" s="25">
        <v>36</v>
      </c>
      <c r="G167" s="25">
        <v>25</v>
      </c>
      <c r="H167" s="25">
        <v>150</v>
      </c>
      <c r="I167" s="25">
        <f t="shared" si="11"/>
        <v>106</v>
      </c>
      <c r="J167" s="25">
        <f t="shared" si="12"/>
        <v>106</v>
      </c>
      <c r="K167" s="27">
        <f t="shared" si="13"/>
        <v>231</v>
      </c>
      <c r="L167" s="27">
        <v>15000</v>
      </c>
      <c r="M167" s="27">
        <v>22000</v>
      </c>
      <c r="N167" s="25">
        <v>80</v>
      </c>
      <c r="P167" s="25" t="s">
        <v>221</v>
      </c>
      <c r="Q167" s="27"/>
      <c r="R167" s="27"/>
    </row>
    <row r="168" spans="1:18" s="25" customFormat="1" x14ac:dyDescent="0.25">
      <c r="A168" s="25" t="s">
        <v>27</v>
      </c>
      <c r="B168" s="25" t="s">
        <v>33</v>
      </c>
      <c r="C168" s="25">
        <v>1500</v>
      </c>
      <c r="D168" s="26">
        <v>107</v>
      </c>
      <c r="E168" s="25">
        <v>0.2</v>
      </c>
      <c r="F168" s="25">
        <v>36</v>
      </c>
      <c r="G168" s="25">
        <v>25</v>
      </c>
      <c r="H168" s="25">
        <v>150</v>
      </c>
      <c r="I168" s="25">
        <f t="shared" si="11"/>
        <v>107</v>
      </c>
      <c r="J168" s="25">
        <f t="shared" si="12"/>
        <v>107</v>
      </c>
      <c r="K168" s="27">
        <f t="shared" si="13"/>
        <v>232</v>
      </c>
      <c r="L168" s="27">
        <v>15000</v>
      </c>
      <c r="M168" s="27">
        <v>22000</v>
      </c>
      <c r="N168" s="25">
        <v>80</v>
      </c>
      <c r="P168" s="25" t="s">
        <v>222</v>
      </c>
      <c r="Q168" s="27"/>
      <c r="R168" s="27"/>
    </row>
    <row r="169" spans="1:18" s="25" customFormat="1" x14ac:dyDescent="0.25">
      <c r="A169" s="25" t="s">
        <v>27</v>
      </c>
      <c r="B169" s="25" t="s">
        <v>33</v>
      </c>
      <c r="C169" s="25">
        <v>1500</v>
      </c>
      <c r="D169" s="26">
        <v>108</v>
      </c>
      <c r="E169" s="25">
        <v>0.2</v>
      </c>
      <c r="F169" s="25">
        <v>36</v>
      </c>
      <c r="G169" s="25">
        <v>25</v>
      </c>
      <c r="H169" s="25">
        <v>150</v>
      </c>
      <c r="I169" s="25">
        <f t="shared" si="11"/>
        <v>108</v>
      </c>
      <c r="J169" s="25">
        <f t="shared" si="12"/>
        <v>108</v>
      </c>
      <c r="K169" s="27">
        <f t="shared" si="13"/>
        <v>233</v>
      </c>
      <c r="L169" s="27">
        <v>15000</v>
      </c>
      <c r="M169" s="27">
        <v>22000</v>
      </c>
      <c r="N169" s="25">
        <v>80</v>
      </c>
      <c r="P169" s="25" t="s">
        <v>223</v>
      </c>
      <c r="Q169" s="27"/>
      <c r="R169" s="27"/>
    </row>
    <row r="170" spans="1:18" s="25" customFormat="1" x14ac:dyDescent="0.25">
      <c r="A170" s="25" t="s">
        <v>27</v>
      </c>
      <c r="B170" s="25" t="s">
        <v>33</v>
      </c>
      <c r="C170" s="25">
        <v>1500</v>
      </c>
      <c r="D170" s="25">
        <v>109</v>
      </c>
      <c r="E170" s="25">
        <v>0.2</v>
      </c>
      <c r="F170" s="25">
        <v>36</v>
      </c>
      <c r="G170" s="25">
        <v>25</v>
      </c>
      <c r="H170" s="25">
        <v>150</v>
      </c>
      <c r="I170" s="25">
        <f t="shared" si="11"/>
        <v>109</v>
      </c>
      <c r="J170" s="25">
        <f t="shared" si="12"/>
        <v>109</v>
      </c>
      <c r="K170" s="27">
        <f t="shared" si="13"/>
        <v>234</v>
      </c>
      <c r="L170" s="27">
        <v>15000</v>
      </c>
      <c r="M170" s="27">
        <v>22000</v>
      </c>
      <c r="N170" s="25">
        <v>80</v>
      </c>
      <c r="P170" s="25" t="s">
        <v>224</v>
      </c>
      <c r="Q170" s="27"/>
      <c r="R170" s="27"/>
    </row>
    <row r="171" spans="1:18" s="25" customFormat="1" x14ac:dyDescent="0.25">
      <c r="A171" s="25" t="s">
        <v>27</v>
      </c>
      <c r="B171" s="25" t="s">
        <v>33</v>
      </c>
      <c r="C171" s="25">
        <v>1500</v>
      </c>
      <c r="D171" s="26">
        <v>110</v>
      </c>
      <c r="E171" s="25">
        <v>0.2</v>
      </c>
      <c r="F171" s="25">
        <v>36</v>
      </c>
      <c r="G171" s="25">
        <v>25</v>
      </c>
      <c r="H171" s="25">
        <v>150</v>
      </c>
      <c r="I171" s="25">
        <f t="shared" si="11"/>
        <v>110</v>
      </c>
      <c r="J171" s="25">
        <f t="shared" si="12"/>
        <v>110</v>
      </c>
      <c r="K171" s="27">
        <f t="shared" si="13"/>
        <v>235</v>
      </c>
      <c r="L171" s="27">
        <v>15000</v>
      </c>
      <c r="M171" s="27">
        <v>22000</v>
      </c>
      <c r="N171" s="25">
        <v>80</v>
      </c>
      <c r="P171" s="25" t="s">
        <v>225</v>
      </c>
      <c r="Q171" s="27"/>
      <c r="R171" s="27"/>
    </row>
    <row r="172" spans="1:18" s="25" customFormat="1" x14ac:dyDescent="0.25">
      <c r="A172" s="25" t="s">
        <v>27</v>
      </c>
      <c r="B172" s="25" t="s">
        <v>33</v>
      </c>
      <c r="C172" s="25">
        <v>1500</v>
      </c>
      <c r="D172" s="26">
        <v>111</v>
      </c>
      <c r="E172" s="25">
        <v>0.2</v>
      </c>
      <c r="F172" s="25">
        <v>36</v>
      </c>
      <c r="G172" s="25">
        <v>25</v>
      </c>
      <c r="H172" s="25">
        <v>150</v>
      </c>
      <c r="I172" s="25">
        <f t="shared" si="11"/>
        <v>111</v>
      </c>
      <c r="J172" s="25">
        <f t="shared" si="12"/>
        <v>111</v>
      </c>
      <c r="K172" s="27">
        <f t="shared" si="13"/>
        <v>236</v>
      </c>
      <c r="L172" s="27">
        <v>15000</v>
      </c>
      <c r="M172" s="27">
        <v>22000</v>
      </c>
      <c r="N172" s="25">
        <v>80</v>
      </c>
      <c r="P172" s="25" t="s">
        <v>226</v>
      </c>
      <c r="Q172" s="27"/>
      <c r="R172" s="27"/>
    </row>
    <row r="173" spans="1:18" s="25" customFormat="1" x14ac:dyDescent="0.25">
      <c r="A173" s="25" t="s">
        <v>27</v>
      </c>
      <c r="B173" s="25" t="s">
        <v>33</v>
      </c>
      <c r="C173" s="25">
        <v>1500</v>
      </c>
      <c r="D173" s="25">
        <v>112</v>
      </c>
      <c r="E173" s="25">
        <v>0.2</v>
      </c>
      <c r="F173" s="25">
        <v>36</v>
      </c>
      <c r="G173" s="25">
        <v>25</v>
      </c>
      <c r="H173" s="25">
        <v>150</v>
      </c>
      <c r="I173" s="25">
        <f t="shared" si="11"/>
        <v>112</v>
      </c>
      <c r="J173" s="25">
        <f t="shared" si="12"/>
        <v>112</v>
      </c>
      <c r="K173" s="27">
        <f t="shared" si="13"/>
        <v>237</v>
      </c>
      <c r="L173" s="27">
        <v>15000</v>
      </c>
      <c r="M173" s="27">
        <v>22000</v>
      </c>
      <c r="N173" s="25">
        <v>80</v>
      </c>
      <c r="P173" s="25" t="s">
        <v>227</v>
      </c>
      <c r="Q173" s="27"/>
      <c r="R173" s="27"/>
    </row>
    <row r="174" spans="1:18" s="25" customFormat="1" x14ac:dyDescent="0.25">
      <c r="A174" s="25" t="s">
        <v>27</v>
      </c>
      <c r="B174" s="25" t="s">
        <v>33</v>
      </c>
      <c r="C174" s="25">
        <v>1500</v>
      </c>
      <c r="D174" s="26">
        <v>113</v>
      </c>
      <c r="E174" s="25">
        <v>0.2</v>
      </c>
      <c r="F174" s="25">
        <v>36</v>
      </c>
      <c r="G174" s="25">
        <v>25</v>
      </c>
      <c r="H174" s="25">
        <v>150</v>
      </c>
      <c r="I174" s="25">
        <f t="shared" si="11"/>
        <v>113</v>
      </c>
      <c r="J174" s="25">
        <f t="shared" si="12"/>
        <v>113</v>
      </c>
      <c r="K174" s="27">
        <f t="shared" si="13"/>
        <v>238</v>
      </c>
      <c r="L174" s="27">
        <v>15000</v>
      </c>
      <c r="M174" s="27">
        <v>22000</v>
      </c>
      <c r="N174" s="25">
        <v>80</v>
      </c>
      <c r="P174" s="25" t="s">
        <v>228</v>
      </c>
      <c r="Q174" s="27"/>
      <c r="R174" s="27"/>
    </row>
    <row r="175" spans="1:18" s="25" customFormat="1" x14ac:dyDescent="0.25">
      <c r="A175" s="25" t="s">
        <v>27</v>
      </c>
      <c r="B175" s="25" t="s">
        <v>33</v>
      </c>
      <c r="C175" s="25">
        <v>1500</v>
      </c>
      <c r="D175" s="26">
        <v>114</v>
      </c>
      <c r="E175" s="25">
        <v>0.2</v>
      </c>
      <c r="F175" s="25">
        <v>36</v>
      </c>
      <c r="G175" s="25">
        <v>25</v>
      </c>
      <c r="H175" s="25">
        <v>150</v>
      </c>
      <c r="I175" s="25">
        <f t="shared" si="11"/>
        <v>114</v>
      </c>
      <c r="J175" s="25">
        <f t="shared" si="12"/>
        <v>114</v>
      </c>
      <c r="K175" s="27">
        <f t="shared" si="13"/>
        <v>239</v>
      </c>
      <c r="L175" s="27">
        <v>15000</v>
      </c>
      <c r="M175" s="27">
        <v>22000</v>
      </c>
      <c r="N175" s="25">
        <v>80</v>
      </c>
      <c r="P175" s="25" t="s">
        <v>229</v>
      </c>
      <c r="Q175" s="27"/>
      <c r="R175" s="27"/>
    </row>
    <row r="176" spans="1:18" s="25" customFormat="1" x14ac:dyDescent="0.25">
      <c r="A176" s="25" t="s">
        <v>27</v>
      </c>
      <c r="B176" s="25" t="s">
        <v>33</v>
      </c>
      <c r="C176" s="25">
        <v>1500</v>
      </c>
      <c r="D176" s="25">
        <v>115</v>
      </c>
      <c r="E176" s="25">
        <v>0.2</v>
      </c>
      <c r="F176" s="25">
        <v>36</v>
      </c>
      <c r="G176" s="25">
        <v>25</v>
      </c>
      <c r="H176" s="25">
        <v>150</v>
      </c>
      <c r="I176" s="25">
        <f t="shared" si="11"/>
        <v>115</v>
      </c>
      <c r="J176" s="25">
        <f t="shared" si="12"/>
        <v>115</v>
      </c>
      <c r="K176" s="27">
        <f t="shared" si="13"/>
        <v>240</v>
      </c>
      <c r="L176" s="27">
        <v>15000</v>
      </c>
      <c r="M176" s="27">
        <v>22000</v>
      </c>
      <c r="N176" s="25">
        <v>80</v>
      </c>
      <c r="P176" s="25" t="s">
        <v>230</v>
      </c>
      <c r="Q176" s="27"/>
      <c r="R176" s="27"/>
    </row>
    <row r="177" spans="1:18" s="25" customFormat="1" x14ac:dyDescent="0.25">
      <c r="A177" s="25" t="s">
        <v>27</v>
      </c>
      <c r="B177" s="25" t="s">
        <v>33</v>
      </c>
      <c r="C177" s="25">
        <v>1500</v>
      </c>
      <c r="D177" s="26">
        <v>116</v>
      </c>
      <c r="E177" s="25">
        <v>0.2</v>
      </c>
      <c r="F177" s="25">
        <v>36</v>
      </c>
      <c r="G177" s="25">
        <v>25</v>
      </c>
      <c r="H177" s="25">
        <v>150</v>
      </c>
      <c r="I177" s="25">
        <f t="shared" si="11"/>
        <v>116</v>
      </c>
      <c r="J177" s="25">
        <f t="shared" si="12"/>
        <v>116</v>
      </c>
      <c r="K177" s="27">
        <f t="shared" si="13"/>
        <v>241</v>
      </c>
      <c r="L177" s="27">
        <v>15000</v>
      </c>
      <c r="M177" s="27">
        <v>22000</v>
      </c>
      <c r="N177" s="25">
        <v>80</v>
      </c>
      <c r="P177" s="25" t="s">
        <v>231</v>
      </c>
      <c r="Q177" s="27"/>
      <c r="R177" s="27"/>
    </row>
    <row r="178" spans="1:18" s="25" customFormat="1" x14ac:dyDescent="0.25">
      <c r="A178" s="25" t="s">
        <v>27</v>
      </c>
      <c r="B178" s="25" t="s">
        <v>33</v>
      </c>
      <c r="C178" s="25">
        <v>1500</v>
      </c>
      <c r="D178" s="26">
        <v>117</v>
      </c>
      <c r="E178" s="25">
        <v>0.2</v>
      </c>
      <c r="F178" s="25">
        <v>36</v>
      </c>
      <c r="G178" s="25">
        <v>25</v>
      </c>
      <c r="H178" s="25">
        <v>150</v>
      </c>
      <c r="I178" s="25">
        <f t="shared" si="11"/>
        <v>117</v>
      </c>
      <c r="J178" s="25">
        <f t="shared" si="12"/>
        <v>117</v>
      </c>
      <c r="K178" s="27">
        <f t="shared" si="13"/>
        <v>242</v>
      </c>
      <c r="L178" s="27">
        <v>15000</v>
      </c>
      <c r="M178" s="27">
        <v>22000</v>
      </c>
      <c r="N178" s="25">
        <v>80</v>
      </c>
      <c r="P178" s="25" t="s">
        <v>232</v>
      </c>
      <c r="Q178" s="27"/>
      <c r="R178" s="27"/>
    </row>
    <row r="179" spans="1:18" s="25" customFormat="1" x14ac:dyDescent="0.25">
      <c r="A179" s="25" t="s">
        <v>27</v>
      </c>
      <c r="B179" s="25" t="s">
        <v>33</v>
      </c>
      <c r="C179" s="25">
        <v>1500</v>
      </c>
      <c r="D179" s="25">
        <v>118</v>
      </c>
      <c r="E179" s="25">
        <v>0.2</v>
      </c>
      <c r="F179" s="25">
        <v>36</v>
      </c>
      <c r="G179" s="25">
        <v>25</v>
      </c>
      <c r="H179" s="25">
        <v>150</v>
      </c>
      <c r="I179" s="25">
        <f t="shared" si="11"/>
        <v>118</v>
      </c>
      <c r="J179" s="25">
        <f t="shared" si="12"/>
        <v>118</v>
      </c>
      <c r="K179" s="27">
        <f t="shared" si="13"/>
        <v>243</v>
      </c>
      <c r="L179" s="27">
        <v>15000</v>
      </c>
      <c r="M179" s="27">
        <v>22000</v>
      </c>
      <c r="N179" s="25">
        <v>80</v>
      </c>
      <c r="P179" s="25" t="s">
        <v>233</v>
      </c>
      <c r="Q179" s="27"/>
      <c r="R179" s="27"/>
    </row>
    <row r="180" spans="1:18" s="25" customFormat="1" x14ac:dyDescent="0.25">
      <c r="A180" s="25" t="s">
        <v>27</v>
      </c>
      <c r="B180" s="25" t="s">
        <v>33</v>
      </c>
      <c r="C180" s="25">
        <v>1500</v>
      </c>
      <c r="D180" s="26">
        <v>119</v>
      </c>
      <c r="E180" s="25">
        <v>0.2</v>
      </c>
      <c r="F180" s="25">
        <v>36</v>
      </c>
      <c r="G180" s="25">
        <v>25</v>
      </c>
      <c r="H180" s="25">
        <v>150</v>
      </c>
      <c r="I180" s="25">
        <f t="shared" si="11"/>
        <v>119</v>
      </c>
      <c r="J180" s="25">
        <f t="shared" si="12"/>
        <v>119</v>
      </c>
      <c r="K180" s="27">
        <f t="shared" si="13"/>
        <v>244</v>
      </c>
      <c r="L180" s="27">
        <v>15000</v>
      </c>
      <c r="M180" s="27">
        <v>22000</v>
      </c>
      <c r="N180" s="25">
        <v>80</v>
      </c>
      <c r="P180" s="25" t="s">
        <v>234</v>
      </c>
      <c r="Q180" s="27"/>
      <c r="R180" s="27"/>
    </row>
    <row r="181" spans="1:18" s="25" customFormat="1" x14ac:dyDescent="0.25">
      <c r="A181" s="25" t="s">
        <v>27</v>
      </c>
      <c r="B181" s="25" t="s">
        <v>33</v>
      </c>
      <c r="C181" s="25">
        <v>1500</v>
      </c>
      <c r="D181" s="26">
        <v>120</v>
      </c>
      <c r="E181" s="25">
        <v>0.2</v>
      </c>
      <c r="F181" s="25">
        <v>36</v>
      </c>
      <c r="G181" s="25">
        <v>25</v>
      </c>
      <c r="H181" s="25">
        <v>150</v>
      </c>
      <c r="I181" s="25">
        <f t="shared" si="11"/>
        <v>120</v>
      </c>
      <c r="J181" s="25">
        <f t="shared" si="12"/>
        <v>120</v>
      </c>
      <c r="K181" s="27">
        <f t="shared" si="13"/>
        <v>245</v>
      </c>
      <c r="L181" s="27">
        <v>15000</v>
      </c>
      <c r="M181" s="27">
        <v>22000</v>
      </c>
      <c r="N181" s="25">
        <v>80</v>
      </c>
      <c r="P181" s="25" t="s">
        <v>235</v>
      </c>
      <c r="Q181" s="27"/>
      <c r="R181" s="27"/>
    </row>
    <row r="182" spans="1:18" s="25" customFormat="1" x14ac:dyDescent="0.25">
      <c r="A182" s="25" t="s">
        <v>27</v>
      </c>
      <c r="B182" s="25" t="s">
        <v>33</v>
      </c>
      <c r="C182" s="25">
        <v>1500</v>
      </c>
      <c r="D182" s="25">
        <v>121</v>
      </c>
      <c r="E182" s="25">
        <v>0.2</v>
      </c>
      <c r="F182" s="25">
        <v>36</v>
      </c>
      <c r="G182" s="25">
        <v>25</v>
      </c>
      <c r="H182" s="25">
        <v>150</v>
      </c>
      <c r="I182" s="25">
        <f t="shared" si="11"/>
        <v>121</v>
      </c>
      <c r="J182" s="25">
        <f t="shared" si="12"/>
        <v>121</v>
      </c>
      <c r="K182" s="27">
        <f t="shared" si="13"/>
        <v>246</v>
      </c>
      <c r="L182" s="27">
        <v>15000</v>
      </c>
      <c r="M182" s="27">
        <v>22000</v>
      </c>
      <c r="N182" s="25">
        <v>80</v>
      </c>
      <c r="P182" s="25" t="s">
        <v>236</v>
      </c>
      <c r="Q182" s="27"/>
      <c r="R182" s="27"/>
    </row>
    <row r="183" spans="1:18" s="25" customFormat="1" x14ac:dyDescent="0.25">
      <c r="A183" s="25" t="s">
        <v>27</v>
      </c>
      <c r="B183" s="25" t="s">
        <v>33</v>
      </c>
      <c r="C183" s="25">
        <v>1500</v>
      </c>
      <c r="D183" s="26">
        <v>122</v>
      </c>
      <c r="E183" s="25">
        <v>0.2</v>
      </c>
      <c r="F183" s="25">
        <v>36</v>
      </c>
      <c r="G183" s="25">
        <v>25</v>
      </c>
      <c r="H183" s="25">
        <v>150</v>
      </c>
      <c r="I183" s="25">
        <f t="shared" si="11"/>
        <v>122</v>
      </c>
      <c r="J183" s="25">
        <f t="shared" si="12"/>
        <v>122</v>
      </c>
      <c r="K183" s="27">
        <f t="shared" si="13"/>
        <v>247</v>
      </c>
      <c r="L183" s="27">
        <v>15000</v>
      </c>
      <c r="M183" s="27">
        <v>22000</v>
      </c>
      <c r="N183" s="25">
        <v>80</v>
      </c>
      <c r="P183" s="25" t="s">
        <v>237</v>
      </c>
      <c r="Q183" s="27"/>
      <c r="R183" s="27"/>
    </row>
    <row r="184" spans="1:18" s="25" customFormat="1" x14ac:dyDescent="0.25">
      <c r="A184" s="25" t="s">
        <v>27</v>
      </c>
      <c r="B184" s="25" t="s">
        <v>33</v>
      </c>
      <c r="C184" s="25">
        <v>1500</v>
      </c>
      <c r="D184" s="26">
        <v>123</v>
      </c>
      <c r="E184" s="25">
        <v>0.2</v>
      </c>
      <c r="F184" s="25">
        <v>36</v>
      </c>
      <c r="G184" s="25">
        <v>25</v>
      </c>
      <c r="H184" s="25">
        <v>150</v>
      </c>
      <c r="I184" s="25">
        <f t="shared" si="11"/>
        <v>123</v>
      </c>
      <c r="J184" s="25">
        <f t="shared" si="12"/>
        <v>123</v>
      </c>
      <c r="K184" s="27">
        <f t="shared" si="13"/>
        <v>248</v>
      </c>
      <c r="L184" s="27">
        <v>15000</v>
      </c>
      <c r="M184" s="27">
        <v>22000</v>
      </c>
      <c r="N184" s="25">
        <v>80</v>
      </c>
      <c r="P184" s="25" t="s">
        <v>238</v>
      </c>
      <c r="Q184" s="27"/>
      <c r="R184" s="27"/>
    </row>
    <row r="185" spans="1:18" s="25" customFormat="1" x14ac:dyDescent="0.25">
      <c r="A185" s="25" t="s">
        <v>27</v>
      </c>
      <c r="B185" s="25" t="s">
        <v>33</v>
      </c>
      <c r="C185" s="25">
        <v>1500</v>
      </c>
      <c r="D185" s="25">
        <v>124</v>
      </c>
      <c r="E185" s="25">
        <v>0.2</v>
      </c>
      <c r="F185" s="25">
        <v>36</v>
      </c>
      <c r="G185" s="25">
        <v>25</v>
      </c>
      <c r="H185" s="25">
        <v>150</v>
      </c>
      <c r="I185" s="25">
        <f t="shared" si="11"/>
        <v>124</v>
      </c>
      <c r="J185" s="25">
        <f t="shared" si="12"/>
        <v>124</v>
      </c>
      <c r="K185" s="27">
        <f t="shared" si="13"/>
        <v>249</v>
      </c>
      <c r="L185" s="27">
        <v>15000</v>
      </c>
      <c r="M185" s="27">
        <v>22000</v>
      </c>
      <c r="N185" s="25">
        <v>80</v>
      </c>
      <c r="P185" s="25" t="s">
        <v>239</v>
      </c>
      <c r="Q185" s="27"/>
      <c r="R185" s="27"/>
    </row>
    <row r="186" spans="1:18" s="25" customFormat="1" x14ac:dyDescent="0.25">
      <c r="A186" s="25" t="s">
        <v>27</v>
      </c>
      <c r="B186" s="25" t="s">
        <v>33</v>
      </c>
      <c r="C186" s="25">
        <v>1500</v>
      </c>
      <c r="D186" s="26">
        <v>125</v>
      </c>
      <c r="E186" s="25">
        <v>0.2</v>
      </c>
      <c r="F186" s="25">
        <v>36</v>
      </c>
      <c r="G186" s="25">
        <v>25</v>
      </c>
      <c r="H186" s="25">
        <v>150</v>
      </c>
      <c r="I186" s="25">
        <f t="shared" si="11"/>
        <v>125</v>
      </c>
      <c r="J186" s="25">
        <f t="shared" si="12"/>
        <v>125</v>
      </c>
      <c r="K186" s="27">
        <f t="shared" si="13"/>
        <v>250</v>
      </c>
      <c r="L186" s="27">
        <v>15000</v>
      </c>
      <c r="M186" s="27">
        <v>22000</v>
      </c>
      <c r="N186" s="25">
        <v>80</v>
      </c>
      <c r="P186" s="25" t="s">
        <v>240</v>
      </c>
      <c r="Q186" s="27"/>
      <c r="R186" s="27"/>
    </row>
    <row r="187" spans="1:18" s="25" customFormat="1" x14ac:dyDescent="0.25">
      <c r="A187" s="25" t="s">
        <v>27</v>
      </c>
      <c r="B187" s="25" t="s">
        <v>33</v>
      </c>
      <c r="C187" s="25">
        <v>1500</v>
      </c>
      <c r="D187" s="26">
        <v>126</v>
      </c>
      <c r="E187" s="25">
        <v>0.2</v>
      </c>
      <c r="F187" s="25">
        <v>36</v>
      </c>
      <c r="G187" s="25">
        <v>25</v>
      </c>
      <c r="H187" s="25">
        <v>150</v>
      </c>
      <c r="I187" s="25">
        <f t="shared" si="11"/>
        <v>126</v>
      </c>
      <c r="J187" s="25">
        <f t="shared" si="12"/>
        <v>126</v>
      </c>
      <c r="K187" s="27">
        <f t="shared" si="13"/>
        <v>251</v>
      </c>
      <c r="L187" s="27">
        <v>15000</v>
      </c>
      <c r="M187" s="27">
        <v>22000</v>
      </c>
      <c r="N187" s="25">
        <v>80</v>
      </c>
      <c r="P187" s="25" t="s">
        <v>241</v>
      </c>
      <c r="Q187" s="27"/>
      <c r="R187" s="27"/>
    </row>
    <row r="188" spans="1:18" s="25" customFormat="1" x14ac:dyDescent="0.25">
      <c r="A188" s="25" t="s">
        <v>27</v>
      </c>
      <c r="B188" s="25" t="s">
        <v>33</v>
      </c>
      <c r="C188" s="25">
        <v>1500</v>
      </c>
      <c r="D188" s="25">
        <v>127</v>
      </c>
      <c r="E188" s="25">
        <v>0.2</v>
      </c>
      <c r="F188" s="25">
        <v>36</v>
      </c>
      <c r="G188" s="25">
        <v>25</v>
      </c>
      <c r="H188" s="25">
        <v>150</v>
      </c>
      <c r="I188" s="25">
        <f t="shared" si="11"/>
        <v>127</v>
      </c>
      <c r="J188" s="25">
        <f t="shared" si="12"/>
        <v>127</v>
      </c>
      <c r="K188" s="27">
        <f t="shared" si="13"/>
        <v>252</v>
      </c>
      <c r="L188" s="27">
        <v>15000</v>
      </c>
      <c r="M188" s="27">
        <v>22000</v>
      </c>
      <c r="N188" s="25">
        <v>80</v>
      </c>
      <c r="P188" s="25" t="s">
        <v>242</v>
      </c>
      <c r="Q188" s="27"/>
      <c r="R188" s="27"/>
    </row>
    <row r="189" spans="1:18" s="25" customFormat="1" x14ac:dyDescent="0.25">
      <c r="A189" s="25" t="s">
        <v>27</v>
      </c>
      <c r="B189" s="25" t="s">
        <v>33</v>
      </c>
      <c r="C189" s="25">
        <v>1500</v>
      </c>
      <c r="D189" s="26">
        <v>128</v>
      </c>
      <c r="E189" s="25">
        <v>0.2</v>
      </c>
      <c r="F189" s="25">
        <v>36</v>
      </c>
      <c r="G189" s="25">
        <v>25</v>
      </c>
      <c r="H189" s="25">
        <v>150</v>
      </c>
      <c r="I189" s="25">
        <f t="shared" si="11"/>
        <v>128</v>
      </c>
      <c r="J189" s="25">
        <f t="shared" si="12"/>
        <v>128</v>
      </c>
      <c r="K189" s="27">
        <f t="shared" si="13"/>
        <v>253</v>
      </c>
      <c r="L189" s="27">
        <v>15000</v>
      </c>
      <c r="M189" s="27">
        <v>22000</v>
      </c>
      <c r="N189" s="25">
        <v>80</v>
      </c>
      <c r="P189" s="25" t="s">
        <v>243</v>
      </c>
      <c r="Q189" s="27"/>
      <c r="R189" s="27"/>
    </row>
    <row r="190" spans="1:18" s="25" customFormat="1" x14ac:dyDescent="0.25">
      <c r="A190" s="25" t="s">
        <v>27</v>
      </c>
      <c r="B190" s="25" t="s">
        <v>33</v>
      </c>
      <c r="C190" s="25">
        <v>1500</v>
      </c>
      <c r="D190" s="26">
        <v>129</v>
      </c>
      <c r="E190" s="25">
        <v>0.2</v>
      </c>
      <c r="F190" s="25">
        <v>36</v>
      </c>
      <c r="G190" s="25">
        <v>25</v>
      </c>
      <c r="H190" s="25">
        <v>150</v>
      </c>
      <c r="I190" s="25">
        <f t="shared" si="11"/>
        <v>129</v>
      </c>
      <c r="J190" s="25">
        <f t="shared" si="12"/>
        <v>129</v>
      </c>
      <c r="K190" s="27">
        <f t="shared" si="13"/>
        <v>254</v>
      </c>
      <c r="L190" s="27">
        <v>15000</v>
      </c>
      <c r="M190" s="27">
        <v>22000</v>
      </c>
      <c r="N190" s="25">
        <v>80</v>
      </c>
      <c r="P190" s="25" t="s">
        <v>244</v>
      </c>
      <c r="Q190" s="27"/>
      <c r="R190" s="27"/>
    </row>
    <row r="191" spans="1:18" s="25" customFormat="1" x14ac:dyDescent="0.25">
      <c r="A191" s="25" t="s">
        <v>27</v>
      </c>
      <c r="B191" s="25" t="s">
        <v>33</v>
      </c>
      <c r="C191" s="25">
        <v>1500</v>
      </c>
      <c r="D191" s="25">
        <v>130</v>
      </c>
      <c r="E191" s="25">
        <v>0.2</v>
      </c>
      <c r="F191" s="25">
        <v>36</v>
      </c>
      <c r="G191" s="25">
        <v>25</v>
      </c>
      <c r="H191" s="25">
        <v>150</v>
      </c>
      <c r="I191" s="25">
        <f t="shared" si="11"/>
        <v>130</v>
      </c>
      <c r="J191" s="25">
        <f t="shared" si="12"/>
        <v>130</v>
      </c>
      <c r="K191" s="27">
        <f t="shared" si="13"/>
        <v>255</v>
      </c>
      <c r="L191" s="27">
        <v>15000</v>
      </c>
      <c r="M191" s="27">
        <v>22000</v>
      </c>
      <c r="N191" s="25">
        <v>80</v>
      </c>
      <c r="P191" s="25" t="s">
        <v>245</v>
      </c>
      <c r="Q191" s="27"/>
      <c r="R191" s="27"/>
    </row>
    <row r="192" spans="1:18" s="25" customFormat="1" x14ac:dyDescent="0.25">
      <c r="A192" s="25" t="s">
        <v>27</v>
      </c>
      <c r="B192" s="25" t="s">
        <v>33</v>
      </c>
      <c r="C192" s="25">
        <v>1500</v>
      </c>
      <c r="D192" s="26">
        <v>131</v>
      </c>
      <c r="E192" s="25">
        <v>0.2</v>
      </c>
      <c r="F192" s="25">
        <v>36</v>
      </c>
      <c r="G192" s="25">
        <v>25</v>
      </c>
      <c r="H192" s="25">
        <v>150</v>
      </c>
      <c r="I192" s="25">
        <f t="shared" si="11"/>
        <v>131</v>
      </c>
      <c r="J192" s="25">
        <f t="shared" si="12"/>
        <v>131</v>
      </c>
      <c r="K192" s="27">
        <f t="shared" si="13"/>
        <v>256</v>
      </c>
      <c r="L192" s="27">
        <v>15000</v>
      </c>
      <c r="M192" s="27">
        <v>22000</v>
      </c>
      <c r="N192" s="25">
        <v>80</v>
      </c>
      <c r="P192" s="25" t="s">
        <v>246</v>
      </c>
      <c r="Q192" s="27"/>
      <c r="R192" s="27"/>
    </row>
    <row r="193" spans="1:18" s="25" customFormat="1" x14ac:dyDescent="0.25">
      <c r="A193" s="25" t="s">
        <v>27</v>
      </c>
      <c r="B193" s="25" t="s">
        <v>33</v>
      </c>
      <c r="C193" s="25">
        <v>1500</v>
      </c>
      <c r="D193" s="26">
        <v>132</v>
      </c>
      <c r="E193" s="25">
        <v>0.2</v>
      </c>
      <c r="F193" s="25">
        <v>36</v>
      </c>
      <c r="G193" s="25">
        <v>25</v>
      </c>
      <c r="H193" s="25">
        <v>150</v>
      </c>
      <c r="I193" s="25">
        <f t="shared" si="11"/>
        <v>132</v>
      </c>
      <c r="J193" s="25">
        <f t="shared" si="12"/>
        <v>132</v>
      </c>
      <c r="K193" s="27">
        <f t="shared" si="13"/>
        <v>257</v>
      </c>
      <c r="L193" s="27">
        <v>15000</v>
      </c>
      <c r="M193" s="27">
        <v>22000</v>
      </c>
      <c r="N193" s="25">
        <v>80</v>
      </c>
      <c r="P193" s="25" t="s">
        <v>247</v>
      </c>
      <c r="Q193" s="27"/>
      <c r="R193" s="27"/>
    </row>
    <row r="194" spans="1:18" s="25" customFormat="1" x14ac:dyDescent="0.25">
      <c r="A194" s="25" t="s">
        <v>27</v>
      </c>
      <c r="B194" s="25" t="s">
        <v>33</v>
      </c>
      <c r="C194" s="25">
        <v>1500</v>
      </c>
      <c r="D194" s="25">
        <v>133</v>
      </c>
      <c r="E194" s="25">
        <v>0.2</v>
      </c>
      <c r="F194" s="25">
        <v>36</v>
      </c>
      <c r="G194" s="25">
        <v>25</v>
      </c>
      <c r="H194" s="25">
        <v>150</v>
      </c>
      <c r="I194" s="25">
        <f t="shared" si="11"/>
        <v>133</v>
      </c>
      <c r="J194" s="25">
        <f t="shared" si="12"/>
        <v>133</v>
      </c>
      <c r="K194" s="27">
        <f t="shared" si="13"/>
        <v>258</v>
      </c>
      <c r="L194" s="27">
        <v>15000</v>
      </c>
      <c r="M194" s="27">
        <v>22000</v>
      </c>
      <c r="N194" s="25">
        <v>80</v>
      </c>
      <c r="P194" s="25" t="s">
        <v>248</v>
      </c>
      <c r="Q194" s="27"/>
      <c r="R194" s="27"/>
    </row>
    <row r="195" spans="1:18" s="25" customFormat="1" x14ac:dyDescent="0.25">
      <c r="A195" s="25" t="s">
        <v>27</v>
      </c>
      <c r="B195" s="25" t="s">
        <v>33</v>
      </c>
      <c r="C195" s="25">
        <v>1500</v>
      </c>
      <c r="D195" s="26">
        <v>134</v>
      </c>
      <c r="E195" s="25">
        <v>0.2</v>
      </c>
      <c r="F195" s="25">
        <v>36</v>
      </c>
      <c r="G195" s="25">
        <v>25</v>
      </c>
      <c r="H195" s="25">
        <v>150</v>
      </c>
      <c r="I195" s="25">
        <f t="shared" si="11"/>
        <v>134</v>
      </c>
      <c r="J195" s="25">
        <f t="shared" si="12"/>
        <v>134</v>
      </c>
      <c r="K195" s="27">
        <f t="shared" si="13"/>
        <v>259</v>
      </c>
      <c r="L195" s="27">
        <v>15000</v>
      </c>
      <c r="M195" s="27">
        <v>22000</v>
      </c>
      <c r="N195" s="25">
        <v>80</v>
      </c>
      <c r="P195" s="25" t="s">
        <v>249</v>
      </c>
      <c r="Q195" s="27"/>
      <c r="R195" s="27"/>
    </row>
    <row r="196" spans="1:18" s="25" customFormat="1" x14ac:dyDescent="0.25">
      <c r="A196" s="25" t="s">
        <v>27</v>
      </c>
      <c r="B196" s="25" t="s">
        <v>33</v>
      </c>
      <c r="C196" s="25">
        <v>1500</v>
      </c>
      <c r="D196" s="26">
        <v>135</v>
      </c>
      <c r="E196" s="25">
        <v>0.2</v>
      </c>
      <c r="F196" s="25">
        <v>36</v>
      </c>
      <c r="G196" s="25">
        <v>25</v>
      </c>
      <c r="H196" s="25">
        <v>150</v>
      </c>
      <c r="I196" s="25">
        <f t="shared" si="11"/>
        <v>135</v>
      </c>
      <c r="J196" s="25">
        <f t="shared" si="12"/>
        <v>135</v>
      </c>
      <c r="K196" s="27">
        <f t="shared" si="13"/>
        <v>260</v>
      </c>
      <c r="L196" s="27">
        <v>15000</v>
      </c>
      <c r="M196" s="27">
        <v>22000</v>
      </c>
      <c r="N196" s="25">
        <v>80</v>
      </c>
      <c r="P196" s="25" t="s">
        <v>250</v>
      </c>
      <c r="Q196" s="27"/>
      <c r="R196" s="27"/>
    </row>
    <row r="197" spans="1:18" s="25" customFormat="1" x14ac:dyDescent="0.25">
      <c r="A197" s="25" t="s">
        <v>27</v>
      </c>
      <c r="B197" s="25" t="s">
        <v>33</v>
      </c>
      <c r="C197" s="25">
        <v>1500</v>
      </c>
      <c r="D197" s="25">
        <v>136</v>
      </c>
      <c r="E197" s="25">
        <v>0.2</v>
      </c>
      <c r="F197" s="25">
        <v>36</v>
      </c>
      <c r="G197" s="25">
        <v>25</v>
      </c>
      <c r="H197" s="25">
        <v>150</v>
      </c>
      <c r="I197" s="25">
        <f t="shared" si="11"/>
        <v>136</v>
      </c>
      <c r="J197" s="25">
        <f t="shared" si="12"/>
        <v>136</v>
      </c>
      <c r="K197" s="27">
        <f t="shared" si="13"/>
        <v>261</v>
      </c>
      <c r="L197" s="27">
        <v>15000</v>
      </c>
      <c r="M197" s="27">
        <v>22000</v>
      </c>
      <c r="N197" s="25">
        <v>80</v>
      </c>
      <c r="P197" s="25" t="s">
        <v>251</v>
      </c>
      <c r="Q197" s="27"/>
      <c r="R197" s="27"/>
    </row>
    <row r="198" spans="1:18" s="25" customFormat="1" x14ac:dyDescent="0.25">
      <c r="A198" s="25" t="s">
        <v>27</v>
      </c>
      <c r="B198" s="25" t="s">
        <v>33</v>
      </c>
      <c r="C198" s="25">
        <v>1500</v>
      </c>
      <c r="D198" s="26">
        <v>137</v>
      </c>
      <c r="E198" s="25">
        <v>0.2</v>
      </c>
      <c r="F198" s="25">
        <v>36</v>
      </c>
      <c r="G198" s="25">
        <v>25</v>
      </c>
      <c r="H198" s="25">
        <v>150</v>
      </c>
      <c r="I198" s="25">
        <f t="shared" si="11"/>
        <v>137</v>
      </c>
      <c r="J198" s="25">
        <f t="shared" si="12"/>
        <v>137</v>
      </c>
      <c r="K198" s="27">
        <f t="shared" si="13"/>
        <v>262</v>
      </c>
      <c r="L198" s="27">
        <v>15000</v>
      </c>
      <c r="M198" s="27">
        <v>22000</v>
      </c>
      <c r="N198" s="25">
        <v>80</v>
      </c>
      <c r="P198" s="25" t="s">
        <v>252</v>
      </c>
      <c r="Q198" s="27"/>
      <c r="R198" s="27"/>
    </row>
    <row r="199" spans="1:18" s="25" customFormat="1" x14ac:dyDescent="0.25">
      <c r="A199" s="25" t="s">
        <v>27</v>
      </c>
      <c r="B199" s="25" t="s">
        <v>33</v>
      </c>
      <c r="C199" s="25">
        <v>1500</v>
      </c>
      <c r="D199" s="26">
        <v>138</v>
      </c>
      <c r="E199" s="25">
        <v>0.2</v>
      </c>
      <c r="F199" s="25">
        <v>36</v>
      </c>
      <c r="G199" s="25">
        <v>25</v>
      </c>
      <c r="H199" s="25">
        <v>150</v>
      </c>
      <c r="I199" s="25">
        <f t="shared" si="11"/>
        <v>138</v>
      </c>
      <c r="J199" s="25">
        <f t="shared" si="12"/>
        <v>138</v>
      </c>
      <c r="K199" s="27">
        <f t="shared" si="13"/>
        <v>263</v>
      </c>
      <c r="L199" s="27">
        <v>15000</v>
      </c>
      <c r="M199" s="27">
        <v>22000</v>
      </c>
      <c r="N199" s="25">
        <v>80</v>
      </c>
      <c r="P199" s="25" t="s">
        <v>253</v>
      </c>
      <c r="Q199" s="27"/>
      <c r="R199" s="27"/>
    </row>
    <row r="200" spans="1:18" s="25" customFormat="1" x14ac:dyDescent="0.25">
      <c r="A200" s="25" t="s">
        <v>27</v>
      </c>
      <c r="B200" s="25" t="s">
        <v>33</v>
      </c>
      <c r="C200" s="25">
        <v>1500</v>
      </c>
      <c r="D200" s="25">
        <v>139</v>
      </c>
      <c r="E200" s="25">
        <v>0.2</v>
      </c>
      <c r="F200" s="25">
        <v>36</v>
      </c>
      <c r="G200" s="25">
        <v>25</v>
      </c>
      <c r="H200" s="25">
        <v>150</v>
      </c>
      <c r="I200" s="25">
        <f t="shared" ref="I200:I267" si="14">D200</f>
        <v>139</v>
      </c>
      <c r="J200" s="25">
        <f t="shared" ref="J200:J267" si="15">D200</f>
        <v>139</v>
      </c>
      <c r="K200" s="27">
        <f t="shared" ref="K200:K221" si="16">125+D200</f>
        <v>264</v>
      </c>
      <c r="L200" s="27">
        <v>15000</v>
      </c>
      <c r="M200" s="27">
        <v>22000</v>
      </c>
      <c r="N200" s="25">
        <v>80</v>
      </c>
      <c r="P200" s="25" t="s">
        <v>254</v>
      </c>
      <c r="Q200" s="27"/>
      <c r="R200" s="27"/>
    </row>
    <row r="201" spans="1:18" s="25" customFormat="1" x14ac:dyDescent="0.25">
      <c r="A201" s="25" t="s">
        <v>27</v>
      </c>
      <c r="B201" s="25" t="s">
        <v>33</v>
      </c>
      <c r="C201" s="25">
        <v>1500</v>
      </c>
      <c r="D201" s="26">
        <v>140</v>
      </c>
      <c r="E201" s="25">
        <v>0.2</v>
      </c>
      <c r="F201" s="25">
        <v>36</v>
      </c>
      <c r="G201" s="25">
        <v>25</v>
      </c>
      <c r="H201" s="25">
        <v>150</v>
      </c>
      <c r="I201" s="25">
        <f t="shared" si="14"/>
        <v>140</v>
      </c>
      <c r="J201" s="25">
        <f t="shared" si="15"/>
        <v>140</v>
      </c>
      <c r="K201" s="27">
        <f t="shared" si="16"/>
        <v>265</v>
      </c>
      <c r="L201" s="27">
        <v>15000</v>
      </c>
      <c r="M201" s="27">
        <v>22000</v>
      </c>
      <c r="N201" s="25">
        <v>80</v>
      </c>
      <c r="P201" s="25" t="s">
        <v>255</v>
      </c>
      <c r="Q201" s="27"/>
      <c r="R201" s="27"/>
    </row>
    <row r="202" spans="1:18" s="25" customFormat="1" x14ac:dyDescent="0.25">
      <c r="A202" s="25" t="s">
        <v>27</v>
      </c>
      <c r="B202" s="25" t="s">
        <v>33</v>
      </c>
      <c r="C202" s="25">
        <v>1500</v>
      </c>
      <c r="D202" s="26">
        <v>141</v>
      </c>
      <c r="E202" s="25">
        <v>0.2</v>
      </c>
      <c r="F202" s="25">
        <v>36</v>
      </c>
      <c r="G202" s="25">
        <v>25</v>
      </c>
      <c r="H202" s="25">
        <v>150</v>
      </c>
      <c r="I202" s="25">
        <f t="shared" si="14"/>
        <v>141</v>
      </c>
      <c r="J202" s="25">
        <f t="shared" si="15"/>
        <v>141</v>
      </c>
      <c r="K202" s="27">
        <f t="shared" si="16"/>
        <v>266</v>
      </c>
      <c r="L202" s="27">
        <v>15000</v>
      </c>
      <c r="M202" s="27">
        <v>22000</v>
      </c>
      <c r="N202" s="25">
        <v>80</v>
      </c>
      <c r="P202" s="25" t="s">
        <v>256</v>
      </c>
      <c r="Q202" s="27"/>
      <c r="R202" s="27"/>
    </row>
    <row r="203" spans="1:18" s="25" customFormat="1" x14ac:dyDescent="0.25">
      <c r="A203" s="25" t="s">
        <v>27</v>
      </c>
      <c r="B203" s="25" t="s">
        <v>33</v>
      </c>
      <c r="C203" s="25">
        <v>1500</v>
      </c>
      <c r="D203" s="25">
        <v>142</v>
      </c>
      <c r="E203" s="25">
        <v>0.2</v>
      </c>
      <c r="F203" s="25">
        <v>36</v>
      </c>
      <c r="G203" s="25">
        <v>25</v>
      </c>
      <c r="H203" s="25">
        <v>150</v>
      </c>
      <c r="I203" s="25">
        <f t="shared" si="14"/>
        <v>142</v>
      </c>
      <c r="J203" s="25">
        <f t="shared" si="15"/>
        <v>142</v>
      </c>
      <c r="K203" s="27">
        <f t="shared" si="16"/>
        <v>267</v>
      </c>
      <c r="L203" s="27">
        <v>15000</v>
      </c>
      <c r="M203" s="27">
        <v>22000</v>
      </c>
      <c r="N203" s="25">
        <v>80</v>
      </c>
      <c r="P203" s="25" t="s">
        <v>257</v>
      </c>
      <c r="Q203" s="27"/>
      <c r="R203" s="27"/>
    </row>
    <row r="204" spans="1:18" s="25" customFormat="1" x14ac:dyDescent="0.25">
      <c r="A204" s="25" t="s">
        <v>27</v>
      </c>
      <c r="B204" s="25" t="s">
        <v>33</v>
      </c>
      <c r="C204" s="25">
        <v>1500</v>
      </c>
      <c r="D204" s="26">
        <v>143</v>
      </c>
      <c r="E204" s="25">
        <v>0.2</v>
      </c>
      <c r="F204" s="25">
        <v>36</v>
      </c>
      <c r="G204" s="25">
        <v>25</v>
      </c>
      <c r="H204" s="25">
        <v>150</v>
      </c>
      <c r="I204" s="25">
        <f t="shared" si="14"/>
        <v>143</v>
      </c>
      <c r="J204" s="25">
        <f t="shared" si="15"/>
        <v>143</v>
      </c>
      <c r="K204" s="27">
        <f t="shared" si="16"/>
        <v>268</v>
      </c>
      <c r="L204" s="27">
        <v>15000</v>
      </c>
      <c r="M204" s="27">
        <v>22000</v>
      </c>
      <c r="N204" s="25">
        <v>80</v>
      </c>
      <c r="P204" s="25" t="s">
        <v>258</v>
      </c>
      <c r="Q204" s="27"/>
      <c r="R204" s="27"/>
    </row>
    <row r="205" spans="1:18" s="25" customFormat="1" x14ac:dyDescent="0.25">
      <c r="A205" s="25" t="s">
        <v>27</v>
      </c>
      <c r="B205" s="25" t="s">
        <v>33</v>
      </c>
      <c r="C205" s="25">
        <v>1500</v>
      </c>
      <c r="D205" s="26">
        <v>144</v>
      </c>
      <c r="E205" s="25">
        <v>0.2</v>
      </c>
      <c r="F205" s="25">
        <v>36</v>
      </c>
      <c r="G205" s="25">
        <v>25</v>
      </c>
      <c r="H205" s="25">
        <v>150</v>
      </c>
      <c r="I205" s="25">
        <f t="shared" si="14"/>
        <v>144</v>
      </c>
      <c r="J205" s="25">
        <f t="shared" si="15"/>
        <v>144</v>
      </c>
      <c r="K205" s="27">
        <f t="shared" si="16"/>
        <v>269</v>
      </c>
      <c r="L205" s="27">
        <v>15000</v>
      </c>
      <c r="M205" s="27">
        <v>22000</v>
      </c>
      <c r="N205" s="25">
        <v>80</v>
      </c>
      <c r="P205" s="25" t="s">
        <v>259</v>
      </c>
      <c r="Q205" s="27"/>
      <c r="R205" s="27"/>
    </row>
    <row r="206" spans="1:18" s="25" customFormat="1" x14ac:dyDescent="0.25">
      <c r="A206" s="25" t="s">
        <v>27</v>
      </c>
      <c r="B206" s="25" t="s">
        <v>33</v>
      </c>
      <c r="C206" s="25">
        <v>1500</v>
      </c>
      <c r="D206" s="25">
        <v>145</v>
      </c>
      <c r="E206" s="25">
        <v>0.2</v>
      </c>
      <c r="F206" s="25">
        <v>36</v>
      </c>
      <c r="G206" s="25">
        <v>25</v>
      </c>
      <c r="H206" s="25">
        <v>150</v>
      </c>
      <c r="I206" s="25">
        <f t="shared" si="14"/>
        <v>145</v>
      </c>
      <c r="J206" s="25">
        <f t="shared" si="15"/>
        <v>145</v>
      </c>
      <c r="K206" s="27">
        <f t="shared" si="16"/>
        <v>270</v>
      </c>
      <c r="L206" s="27">
        <v>15000</v>
      </c>
      <c r="M206" s="27">
        <v>22000</v>
      </c>
      <c r="N206" s="25">
        <v>80</v>
      </c>
      <c r="P206" s="25" t="s">
        <v>260</v>
      </c>
      <c r="Q206" s="27"/>
      <c r="R206" s="27"/>
    </row>
    <row r="207" spans="1:18" s="25" customFormat="1" x14ac:dyDescent="0.25">
      <c r="A207" s="25" t="s">
        <v>27</v>
      </c>
      <c r="B207" s="25" t="s">
        <v>33</v>
      </c>
      <c r="C207" s="25">
        <v>1500</v>
      </c>
      <c r="D207" s="26">
        <v>146</v>
      </c>
      <c r="E207" s="25">
        <v>0.2</v>
      </c>
      <c r="F207" s="25">
        <v>36</v>
      </c>
      <c r="G207" s="25">
        <v>25</v>
      </c>
      <c r="H207" s="25">
        <v>150</v>
      </c>
      <c r="I207" s="25">
        <f t="shared" si="14"/>
        <v>146</v>
      </c>
      <c r="J207" s="25">
        <f t="shared" si="15"/>
        <v>146</v>
      </c>
      <c r="K207" s="27">
        <f t="shared" si="16"/>
        <v>271</v>
      </c>
      <c r="L207" s="27">
        <v>15000</v>
      </c>
      <c r="M207" s="27">
        <v>22000</v>
      </c>
      <c r="N207" s="25">
        <v>80</v>
      </c>
      <c r="P207" s="25" t="s">
        <v>261</v>
      </c>
      <c r="Q207" s="27"/>
      <c r="R207" s="27"/>
    </row>
    <row r="208" spans="1:18" s="25" customFormat="1" x14ac:dyDescent="0.25">
      <c r="A208" s="25" t="s">
        <v>27</v>
      </c>
      <c r="B208" s="25" t="s">
        <v>33</v>
      </c>
      <c r="C208" s="25">
        <v>1500</v>
      </c>
      <c r="D208" s="26">
        <v>147</v>
      </c>
      <c r="E208" s="25">
        <v>0.2</v>
      </c>
      <c r="F208" s="25">
        <v>36</v>
      </c>
      <c r="G208" s="25">
        <v>25</v>
      </c>
      <c r="H208" s="25">
        <v>150</v>
      </c>
      <c r="I208" s="25">
        <f t="shared" si="14"/>
        <v>147</v>
      </c>
      <c r="J208" s="25">
        <f t="shared" si="15"/>
        <v>147</v>
      </c>
      <c r="K208" s="27">
        <f t="shared" si="16"/>
        <v>272</v>
      </c>
      <c r="L208" s="27">
        <v>15000</v>
      </c>
      <c r="M208" s="27">
        <v>22000</v>
      </c>
      <c r="N208" s="25">
        <v>80</v>
      </c>
      <c r="P208" s="25" t="s">
        <v>262</v>
      </c>
      <c r="Q208" s="27"/>
      <c r="R208" s="27"/>
    </row>
    <row r="209" spans="1:18" s="25" customFormat="1" x14ac:dyDescent="0.25">
      <c r="A209" s="25" t="s">
        <v>27</v>
      </c>
      <c r="B209" s="25" t="s">
        <v>33</v>
      </c>
      <c r="C209" s="25">
        <v>1500</v>
      </c>
      <c r="D209" s="25">
        <v>148</v>
      </c>
      <c r="E209" s="25">
        <v>0.2</v>
      </c>
      <c r="F209" s="25">
        <v>36</v>
      </c>
      <c r="G209" s="25">
        <v>25</v>
      </c>
      <c r="H209" s="25">
        <v>150</v>
      </c>
      <c r="I209" s="25">
        <f t="shared" si="14"/>
        <v>148</v>
      </c>
      <c r="J209" s="25">
        <f t="shared" si="15"/>
        <v>148</v>
      </c>
      <c r="K209" s="27">
        <f t="shared" si="16"/>
        <v>273</v>
      </c>
      <c r="L209" s="27">
        <v>15000</v>
      </c>
      <c r="M209" s="27">
        <v>22000</v>
      </c>
      <c r="N209" s="25">
        <v>80</v>
      </c>
      <c r="P209" s="25" t="s">
        <v>263</v>
      </c>
      <c r="Q209" s="27"/>
      <c r="R209" s="27"/>
    </row>
    <row r="210" spans="1:18" s="25" customFormat="1" x14ac:dyDescent="0.25">
      <c r="A210" s="25" t="s">
        <v>27</v>
      </c>
      <c r="B210" s="25" t="s">
        <v>33</v>
      </c>
      <c r="C210" s="25">
        <v>1500</v>
      </c>
      <c r="D210" s="26">
        <v>149</v>
      </c>
      <c r="E210" s="25">
        <v>0.2</v>
      </c>
      <c r="F210" s="25">
        <v>36</v>
      </c>
      <c r="G210" s="25">
        <v>25</v>
      </c>
      <c r="H210" s="25">
        <v>150</v>
      </c>
      <c r="I210" s="25">
        <f t="shared" si="14"/>
        <v>149</v>
      </c>
      <c r="J210" s="25">
        <f t="shared" si="15"/>
        <v>149</v>
      </c>
      <c r="K210" s="27">
        <f t="shared" si="16"/>
        <v>274</v>
      </c>
      <c r="L210" s="27">
        <v>15000</v>
      </c>
      <c r="M210" s="27">
        <v>22000</v>
      </c>
      <c r="N210" s="25">
        <v>80</v>
      </c>
      <c r="P210" s="25" t="s">
        <v>264</v>
      </c>
      <c r="Q210" s="27"/>
      <c r="R210" s="27"/>
    </row>
    <row r="211" spans="1:18" s="25" customFormat="1" x14ac:dyDescent="0.25">
      <c r="A211" s="25" t="s">
        <v>27</v>
      </c>
      <c r="B211" s="25" t="s">
        <v>33</v>
      </c>
      <c r="C211" s="25">
        <v>1500</v>
      </c>
      <c r="D211" s="26">
        <v>150</v>
      </c>
      <c r="E211" s="25">
        <v>0.2</v>
      </c>
      <c r="F211" s="25">
        <v>36</v>
      </c>
      <c r="G211" s="25">
        <v>25</v>
      </c>
      <c r="H211" s="25">
        <v>150</v>
      </c>
      <c r="I211" s="25">
        <f t="shared" si="14"/>
        <v>150</v>
      </c>
      <c r="J211" s="25">
        <f t="shared" si="15"/>
        <v>150</v>
      </c>
      <c r="K211" s="27">
        <f t="shared" si="16"/>
        <v>275</v>
      </c>
      <c r="L211" s="27">
        <v>15000</v>
      </c>
      <c r="M211" s="27">
        <v>22000</v>
      </c>
      <c r="N211" s="25">
        <v>80</v>
      </c>
      <c r="P211" s="25" t="s">
        <v>265</v>
      </c>
      <c r="Q211" s="27"/>
      <c r="R211" s="27"/>
    </row>
    <row r="212" spans="1:18" s="25" customFormat="1" x14ac:dyDescent="0.25">
      <c r="A212" s="25" t="s">
        <v>27</v>
      </c>
      <c r="B212" s="25" t="s">
        <v>33</v>
      </c>
      <c r="C212" s="25">
        <v>1500</v>
      </c>
      <c r="D212" s="25">
        <v>151</v>
      </c>
      <c r="E212" s="25">
        <v>0.2</v>
      </c>
      <c r="F212" s="25">
        <v>36</v>
      </c>
      <c r="G212" s="25">
        <v>25</v>
      </c>
      <c r="H212" s="25">
        <v>150</v>
      </c>
      <c r="I212" s="25">
        <f t="shared" si="14"/>
        <v>151</v>
      </c>
      <c r="J212" s="25">
        <f t="shared" si="15"/>
        <v>151</v>
      </c>
      <c r="K212" s="27">
        <f t="shared" si="16"/>
        <v>276</v>
      </c>
      <c r="L212" s="27">
        <v>15000</v>
      </c>
      <c r="M212" s="27">
        <v>22000</v>
      </c>
      <c r="N212" s="25">
        <v>80</v>
      </c>
      <c r="P212" s="25" t="s">
        <v>266</v>
      </c>
      <c r="Q212" s="27"/>
      <c r="R212" s="27"/>
    </row>
    <row r="213" spans="1:18" s="25" customFormat="1" x14ac:dyDescent="0.25">
      <c r="A213" s="25" t="s">
        <v>27</v>
      </c>
      <c r="B213" s="25" t="s">
        <v>33</v>
      </c>
      <c r="C213" s="25">
        <v>1500</v>
      </c>
      <c r="D213" s="26">
        <v>152</v>
      </c>
      <c r="E213" s="25">
        <v>0.2</v>
      </c>
      <c r="F213" s="25">
        <v>36</v>
      </c>
      <c r="G213" s="25">
        <v>25</v>
      </c>
      <c r="H213" s="25">
        <v>150</v>
      </c>
      <c r="I213" s="25">
        <f t="shared" si="14"/>
        <v>152</v>
      </c>
      <c r="J213" s="25">
        <f t="shared" si="15"/>
        <v>152</v>
      </c>
      <c r="K213" s="27">
        <f t="shared" si="16"/>
        <v>277</v>
      </c>
      <c r="L213" s="27">
        <v>15000</v>
      </c>
      <c r="M213" s="27">
        <v>22000</v>
      </c>
      <c r="N213" s="25">
        <v>80</v>
      </c>
      <c r="P213" s="25" t="s">
        <v>267</v>
      </c>
      <c r="Q213" s="27"/>
      <c r="R213" s="27"/>
    </row>
    <row r="214" spans="1:18" s="25" customFormat="1" x14ac:dyDescent="0.25">
      <c r="A214" s="25" t="s">
        <v>27</v>
      </c>
      <c r="B214" s="25" t="s">
        <v>33</v>
      </c>
      <c r="C214" s="25">
        <v>1500</v>
      </c>
      <c r="D214" s="26">
        <v>153</v>
      </c>
      <c r="E214" s="25">
        <v>0.2</v>
      </c>
      <c r="F214" s="25">
        <v>36</v>
      </c>
      <c r="G214" s="25">
        <v>25</v>
      </c>
      <c r="H214" s="25">
        <v>150</v>
      </c>
      <c r="I214" s="25">
        <f t="shared" si="14"/>
        <v>153</v>
      </c>
      <c r="J214" s="25">
        <f t="shared" si="15"/>
        <v>153</v>
      </c>
      <c r="K214" s="27">
        <f t="shared" si="16"/>
        <v>278</v>
      </c>
      <c r="L214" s="27">
        <v>15000</v>
      </c>
      <c r="M214" s="27">
        <v>22000</v>
      </c>
      <c r="N214" s="25">
        <v>80</v>
      </c>
      <c r="P214" s="25" t="s">
        <v>268</v>
      </c>
      <c r="Q214" s="27"/>
      <c r="R214" s="27"/>
    </row>
    <row r="215" spans="1:18" s="25" customFormat="1" x14ac:dyDescent="0.25">
      <c r="A215" s="25" t="s">
        <v>27</v>
      </c>
      <c r="B215" s="25" t="s">
        <v>33</v>
      </c>
      <c r="C215" s="25">
        <v>1500</v>
      </c>
      <c r="D215" s="25">
        <v>154</v>
      </c>
      <c r="E215" s="25">
        <v>0.2</v>
      </c>
      <c r="F215" s="25">
        <v>36</v>
      </c>
      <c r="G215" s="25">
        <v>25</v>
      </c>
      <c r="H215" s="25">
        <v>150</v>
      </c>
      <c r="I215" s="25">
        <f t="shared" si="14"/>
        <v>154</v>
      </c>
      <c r="J215" s="25">
        <f t="shared" si="15"/>
        <v>154</v>
      </c>
      <c r="K215" s="27">
        <f t="shared" si="16"/>
        <v>279</v>
      </c>
      <c r="L215" s="27">
        <v>15000</v>
      </c>
      <c r="M215" s="27">
        <v>22000</v>
      </c>
      <c r="N215" s="25">
        <v>80</v>
      </c>
      <c r="P215" s="25" t="s">
        <v>269</v>
      </c>
      <c r="Q215" s="27"/>
      <c r="R215" s="27"/>
    </row>
    <row r="216" spans="1:18" s="25" customFormat="1" x14ac:dyDescent="0.25">
      <c r="A216" s="25" t="s">
        <v>27</v>
      </c>
      <c r="B216" s="25" t="s">
        <v>33</v>
      </c>
      <c r="C216" s="25">
        <v>1500</v>
      </c>
      <c r="D216" s="26">
        <v>155</v>
      </c>
      <c r="E216" s="25">
        <v>0.2</v>
      </c>
      <c r="F216" s="25">
        <v>36</v>
      </c>
      <c r="G216" s="25">
        <v>25</v>
      </c>
      <c r="H216" s="25">
        <v>150</v>
      </c>
      <c r="I216" s="25">
        <f t="shared" si="14"/>
        <v>155</v>
      </c>
      <c r="J216" s="25">
        <f t="shared" si="15"/>
        <v>155</v>
      </c>
      <c r="K216" s="27">
        <f t="shared" si="16"/>
        <v>280</v>
      </c>
      <c r="L216" s="27">
        <v>15000</v>
      </c>
      <c r="M216" s="27">
        <v>22000</v>
      </c>
      <c r="N216" s="25">
        <v>80</v>
      </c>
      <c r="P216" s="25" t="s">
        <v>270</v>
      </c>
      <c r="Q216" s="27"/>
      <c r="R216" s="27"/>
    </row>
    <row r="217" spans="1:18" s="25" customFormat="1" x14ac:dyDescent="0.25">
      <c r="A217" s="25" t="s">
        <v>27</v>
      </c>
      <c r="B217" s="25" t="s">
        <v>33</v>
      </c>
      <c r="C217" s="25">
        <v>1500</v>
      </c>
      <c r="D217" s="26">
        <v>156</v>
      </c>
      <c r="E217" s="25">
        <v>0.2</v>
      </c>
      <c r="F217" s="25">
        <v>36</v>
      </c>
      <c r="G217" s="25">
        <v>25</v>
      </c>
      <c r="H217" s="25">
        <v>150</v>
      </c>
      <c r="I217" s="25">
        <f t="shared" si="14"/>
        <v>156</v>
      </c>
      <c r="J217" s="25">
        <f t="shared" si="15"/>
        <v>156</v>
      </c>
      <c r="K217" s="27">
        <f t="shared" si="16"/>
        <v>281</v>
      </c>
      <c r="L217" s="27">
        <v>15000</v>
      </c>
      <c r="M217" s="27">
        <v>22000</v>
      </c>
      <c r="N217" s="25">
        <v>80</v>
      </c>
      <c r="P217" s="25" t="s">
        <v>271</v>
      </c>
      <c r="Q217" s="27"/>
      <c r="R217" s="27"/>
    </row>
    <row r="218" spans="1:18" s="25" customFormat="1" x14ac:dyDescent="0.25">
      <c r="A218" s="25" t="s">
        <v>27</v>
      </c>
      <c r="B218" s="25" t="s">
        <v>33</v>
      </c>
      <c r="C218" s="25">
        <v>1500</v>
      </c>
      <c r="D218" s="25">
        <v>157</v>
      </c>
      <c r="E218" s="25">
        <v>0.2</v>
      </c>
      <c r="F218" s="25">
        <v>36</v>
      </c>
      <c r="G218" s="25">
        <v>25</v>
      </c>
      <c r="H218" s="25">
        <v>150</v>
      </c>
      <c r="I218" s="25">
        <f t="shared" si="14"/>
        <v>157</v>
      </c>
      <c r="J218" s="25">
        <f t="shared" si="15"/>
        <v>157</v>
      </c>
      <c r="K218" s="27">
        <f t="shared" si="16"/>
        <v>282</v>
      </c>
      <c r="L218" s="27">
        <v>15000</v>
      </c>
      <c r="M218" s="27">
        <v>22000</v>
      </c>
      <c r="N218" s="25">
        <v>80</v>
      </c>
      <c r="P218" s="25" t="s">
        <v>272</v>
      </c>
      <c r="Q218" s="27"/>
      <c r="R218" s="27"/>
    </row>
    <row r="219" spans="1:18" s="25" customFormat="1" x14ac:dyDescent="0.25">
      <c r="A219" s="25" t="s">
        <v>27</v>
      </c>
      <c r="B219" s="25" t="s">
        <v>33</v>
      </c>
      <c r="C219" s="25">
        <v>1500</v>
      </c>
      <c r="D219" s="26">
        <v>158</v>
      </c>
      <c r="E219" s="25">
        <v>0.2</v>
      </c>
      <c r="F219" s="25">
        <v>36</v>
      </c>
      <c r="G219" s="25">
        <v>25</v>
      </c>
      <c r="H219" s="25">
        <v>150</v>
      </c>
      <c r="I219" s="25">
        <f t="shared" si="14"/>
        <v>158</v>
      </c>
      <c r="J219" s="25">
        <f t="shared" si="15"/>
        <v>158</v>
      </c>
      <c r="K219" s="27">
        <f t="shared" si="16"/>
        <v>283</v>
      </c>
      <c r="L219" s="27">
        <v>15000</v>
      </c>
      <c r="M219" s="27">
        <v>22000</v>
      </c>
      <c r="N219" s="25">
        <v>80</v>
      </c>
      <c r="P219" s="25" t="s">
        <v>273</v>
      </c>
      <c r="Q219" s="27"/>
      <c r="R219" s="27"/>
    </row>
    <row r="220" spans="1:18" s="25" customFormat="1" x14ac:dyDescent="0.25">
      <c r="A220" s="25" t="s">
        <v>27</v>
      </c>
      <c r="B220" s="25" t="s">
        <v>33</v>
      </c>
      <c r="C220" s="25">
        <v>1500</v>
      </c>
      <c r="D220" s="26">
        <v>159</v>
      </c>
      <c r="E220" s="25">
        <v>0.2</v>
      </c>
      <c r="F220" s="25">
        <v>36</v>
      </c>
      <c r="G220" s="25">
        <v>25</v>
      </c>
      <c r="H220" s="25">
        <v>150</v>
      </c>
      <c r="I220" s="25">
        <f t="shared" si="14"/>
        <v>159</v>
      </c>
      <c r="J220" s="25">
        <f t="shared" si="15"/>
        <v>159</v>
      </c>
      <c r="K220" s="27">
        <f t="shared" si="16"/>
        <v>284</v>
      </c>
      <c r="L220" s="27">
        <v>15000</v>
      </c>
      <c r="M220" s="27">
        <v>22000</v>
      </c>
      <c r="N220" s="25">
        <v>80</v>
      </c>
      <c r="P220" s="25" t="s">
        <v>274</v>
      </c>
      <c r="Q220" s="27"/>
      <c r="R220" s="27"/>
    </row>
    <row r="221" spans="1:18" s="25" customFormat="1" x14ac:dyDescent="0.25">
      <c r="A221" s="25" t="s">
        <v>27</v>
      </c>
      <c r="B221" s="25" t="s">
        <v>33</v>
      </c>
      <c r="C221" s="25">
        <v>1500</v>
      </c>
      <c r="D221" s="25">
        <v>160</v>
      </c>
      <c r="E221" s="25">
        <v>0.2</v>
      </c>
      <c r="F221" s="25">
        <v>36</v>
      </c>
      <c r="G221" s="25">
        <v>25</v>
      </c>
      <c r="H221" s="25">
        <v>150</v>
      </c>
      <c r="I221" s="25">
        <f t="shared" si="14"/>
        <v>160</v>
      </c>
      <c r="J221" s="25">
        <f t="shared" si="15"/>
        <v>160</v>
      </c>
      <c r="K221" s="27">
        <f t="shared" si="16"/>
        <v>285</v>
      </c>
      <c r="L221" s="27">
        <v>15000</v>
      </c>
      <c r="M221" s="27">
        <v>22000</v>
      </c>
      <c r="N221" s="25">
        <v>80</v>
      </c>
      <c r="P221" s="25" t="s">
        <v>275</v>
      </c>
      <c r="Q221" s="27"/>
      <c r="R221" s="27"/>
    </row>
    <row r="222" spans="1:18" s="20" customFormat="1" x14ac:dyDescent="0.25">
      <c r="A222" s="20" t="s">
        <v>27</v>
      </c>
      <c r="B222" s="20" t="s">
        <v>34</v>
      </c>
      <c r="C222" s="20">
        <v>3000</v>
      </c>
      <c r="D222" s="20">
        <v>6</v>
      </c>
      <c r="E222" s="20">
        <v>0.2</v>
      </c>
      <c r="F222" s="20">
        <v>50</v>
      </c>
      <c r="G222" s="20">
        <v>25</v>
      </c>
      <c r="H222" s="20">
        <v>150</v>
      </c>
      <c r="I222" s="20">
        <f t="shared" si="14"/>
        <v>6</v>
      </c>
      <c r="J222" s="20">
        <f t="shared" si="15"/>
        <v>6</v>
      </c>
      <c r="K222" s="157">
        <f t="shared" ref="K222:K225" si="17">135+D222</f>
        <v>141</v>
      </c>
      <c r="L222" s="157">
        <v>30000</v>
      </c>
      <c r="M222" s="20">
        <v>42000</v>
      </c>
      <c r="N222" s="20">
        <v>100</v>
      </c>
      <c r="P222" s="20" t="s">
        <v>928</v>
      </c>
      <c r="Q222" s="157"/>
      <c r="R222" s="157"/>
    </row>
    <row r="223" spans="1:18" s="20" customFormat="1" x14ac:dyDescent="0.25">
      <c r="A223" s="20" t="s">
        <v>27</v>
      </c>
      <c r="B223" s="20" t="s">
        <v>34</v>
      </c>
      <c r="C223" s="20">
        <v>3000</v>
      </c>
      <c r="D223" s="158">
        <v>7</v>
      </c>
      <c r="E223" s="20">
        <v>0.2</v>
      </c>
      <c r="F223" s="20">
        <v>50</v>
      </c>
      <c r="G223" s="20">
        <v>25</v>
      </c>
      <c r="H223" s="20">
        <v>150</v>
      </c>
      <c r="I223" s="20">
        <f t="shared" si="14"/>
        <v>7</v>
      </c>
      <c r="J223" s="20">
        <f t="shared" si="15"/>
        <v>7</v>
      </c>
      <c r="K223" s="157">
        <f t="shared" si="17"/>
        <v>142</v>
      </c>
      <c r="L223" s="157">
        <v>30000</v>
      </c>
      <c r="M223" s="20">
        <v>42000</v>
      </c>
      <c r="N223" s="20">
        <v>100</v>
      </c>
      <c r="P223" s="20" t="s">
        <v>929</v>
      </c>
      <c r="Q223" s="157"/>
      <c r="R223" s="157"/>
    </row>
    <row r="224" spans="1:18" s="20" customFormat="1" x14ac:dyDescent="0.25">
      <c r="A224" s="20" t="s">
        <v>27</v>
      </c>
      <c r="B224" s="20" t="s">
        <v>34</v>
      </c>
      <c r="C224" s="20">
        <v>3000</v>
      </c>
      <c r="D224" s="158">
        <v>8</v>
      </c>
      <c r="E224" s="20">
        <v>0.2</v>
      </c>
      <c r="F224" s="20">
        <v>50</v>
      </c>
      <c r="G224" s="20">
        <v>25</v>
      </c>
      <c r="H224" s="20">
        <v>150</v>
      </c>
      <c r="I224" s="20">
        <f t="shared" si="14"/>
        <v>8</v>
      </c>
      <c r="J224" s="20">
        <f t="shared" si="15"/>
        <v>8</v>
      </c>
      <c r="K224" s="157">
        <f t="shared" si="17"/>
        <v>143</v>
      </c>
      <c r="L224" s="157">
        <v>30000</v>
      </c>
      <c r="M224" s="20">
        <v>42000</v>
      </c>
      <c r="N224" s="20">
        <v>100</v>
      </c>
      <c r="P224" s="20" t="s">
        <v>930</v>
      </c>
      <c r="Q224" s="157"/>
      <c r="R224" s="157"/>
    </row>
    <row r="225" spans="1:18" s="20" customFormat="1" x14ac:dyDescent="0.25">
      <c r="A225" s="20" t="s">
        <v>27</v>
      </c>
      <c r="B225" s="20" t="s">
        <v>34</v>
      </c>
      <c r="C225" s="20">
        <v>3000</v>
      </c>
      <c r="D225" s="20">
        <v>9</v>
      </c>
      <c r="E225" s="20">
        <v>0.2</v>
      </c>
      <c r="F225" s="20">
        <v>50</v>
      </c>
      <c r="G225" s="20">
        <v>25</v>
      </c>
      <c r="H225" s="20">
        <v>150</v>
      </c>
      <c r="I225" s="20">
        <f t="shared" si="14"/>
        <v>9</v>
      </c>
      <c r="J225" s="20">
        <f t="shared" si="15"/>
        <v>9</v>
      </c>
      <c r="K225" s="157">
        <f t="shared" si="17"/>
        <v>144</v>
      </c>
      <c r="L225" s="157">
        <v>30000</v>
      </c>
      <c r="M225" s="20">
        <v>42000</v>
      </c>
      <c r="N225" s="20">
        <v>100</v>
      </c>
      <c r="P225" s="20" t="s">
        <v>931</v>
      </c>
      <c r="Q225" s="157"/>
      <c r="R225" s="157"/>
    </row>
    <row r="226" spans="1:18" s="28" customFormat="1" x14ac:dyDescent="0.25">
      <c r="A226" s="28" t="s">
        <v>27</v>
      </c>
      <c r="B226" s="25" t="s">
        <v>34</v>
      </c>
      <c r="C226" s="25">
        <v>3000</v>
      </c>
      <c r="D226" s="28">
        <v>10</v>
      </c>
      <c r="E226" s="28">
        <v>0.2</v>
      </c>
      <c r="F226" s="3">
        <v>50</v>
      </c>
      <c r="G226" s="28">
        <v>25</v>
      </c>
      <c r="H226" s="28">
        <v>150</v>
      </c>
      <c r="I226" s="28">
        <f t="shared" si="14"/>
        <v>10</v>
      </c>
      <c r="J226" s="28">
        <f t="shared" si="15"/>
        <v>10</v>
      </c>
      <c r="K226" s="29">
        <f>135+D226</f>
        <v>145</v>
      </c>
      <c r="L226" s="24">
        <v>30000</v>
      </c>
      <c r="M226" s="3">
        <v>42000</v>
      </c>
      <c r="N226" s="28">
        <v>100</v>
      </c>
      <c r="P226" s="25" t="s">
        <v>276</v>
      </c>
    </row>
    <row r="227" spans="1:18" s="28" customFormat="1" x14ac:dyDescent="0.25">
      <c r="A227" s="28" t="s">
        <v>27</v>
      </c>
      <c r="B227" s="25" t="s">
        <v>34</v>
      </c>
      <c r="C227" s="25">
        <v>3000</v>
      </c>
      <c r="D227" s="30">
        <v>11</v>
      </c>
      <c r="E227" s="28">
        <v>0.2</v>
      </c>
      <c r="F227" s="3">
        <v>50</v>
      </c>
      <c r="G227" s="28">
        <v>25</v>
      </c>
      <c r="H227" s="28">
        <v>150</v>
      </c>
      <c r="I227" s="28">
        <f t="shared" si="14"/>
        <v>11</v>
      </c>
      <c r="J227" s="28">
        <f t="shared" si="15"/>
        <v>11</v>
      </c>
      <c r="K227" s="29">
        <f t="shared" ref="K227:K290" si="18">135+D227</f>
        <v>146</v>
      </c>
      <c r="L227" s="24">
        <v>30000</v>
      </c>
      <c r="M227" s="3">
        <v>42000</v>
      </c>
      <c r="N227" s="28">
        <v>100</v>
      </c>
      <c r="P227" s="25" t="s">
        <v>277</v>
      </c>
    </row>
    <row r="228" spans="1:18" s="28" customFormat="1" x14ac:dyDescent="0.25">
      <c r="A228" s="28" t="s">
        <v>27</v>
      </c>
      <c r="B228" s="25" t="s">
        <v>34</v>
      </c>
      <c r="C228" s="25">
        <v>3000</v>
      </c>
      <c r="D228" s="30">
        <v>12</v>
      </c>
      <c r="E228" s="28">
        <v>0.2</v>
      </c>
      <c r="F228" s="3">
        <v>50</v>
      </c>
      <c r="G228" s="28">
        <v>25</v>
      </c>
      <c r="H228" s="28">
        <v>150</v>
      </c>
      <c r="I228" s="28">
        <f t="shared" si="14"/>
        <v>12</v>
      </c>
      <c r="J228" s="28">
        <f t="shared" si="15"/>
        <v>12</v>
      </c>
      <c r="K228" s="29">
        <f t="shared" si="18"/>
        <v>147</v>
      </c>
      <c r="L228" s="24">
        <v>30000</v>
      </c>
      <c r="M228" s="3">
        <v>42000</v>
      </c>
      <c r="N228" s="28">
        <v>100</v>
      </c>
      <c r="P228" s="25" t="s">
        <v>278</v>
      </c>
    </row>
    <row r="229" spans="1:18" s="28" customFormat="1" x14ac:dyDescent="0.25">
      <c r="A229" s="28" t="s">
        <v>27</v>
      </c>
      <c r="B229" s="25" t="s">
        <v>34</v>
      </c>
      <c r="C229" s="25">
        <v>3000</v>
      </c>
      <c r="D229" s="28">
        <v>13</v>
      </c>
      <c r="E229" s="28">
        <v>0.2</v>
      </c>
      <c r="F229" s="3">
        <v>50</v>
      </c>
      <c r="G229" s="28">
        <v>25</v>
      </c>
      <c r="H229" s="28">
        <v>150</v>
      </c>
      <c r="I229" s="28">
        <f t="shared" si="14"/>
        <v>13</v>
      </c>
      <c r="J229" s="28">
        <f t="shared" si="15"/>
        <v>13</v>
      </c>
      <c r="K229" s="29">
        <f t="shared" si="18"/>
        <v>148</v>
      </c>
      <c r="L229" s="24">
        <v>30000</v>
      </c>
      <c r="M229" s="3">
        <v>42000</v>
      </c>
      <c r="N229" s="28">
        <v>100</v>
      </c>
      <c r="P229" s="25" t="s">
        <v>279</v>
      </c>
    </row>
    <row r="230" spans="1:18" s="28" customFormat="1" x14ac:dyDescent="0.25">
      <c r="A230" s="28" t="s">
        <v>27</v>
      </c>
      <c r="B230" s="25" t="s">
        <v>34</v>
      </c>
      <c r="C230" s="25">
        <v>3000</v>
      </c>
      <c r="D230" s="30">
        <v>14</v>
      </c>
      <c r="E230" s="28">
        <v>0.2</v>
      </c>
      <c r="F230" s="3">
        <v>50</v>
      </c>
      <c r="G230" s="28">
        <v>25</v>
      </c>
      <c r="H230" s="28">
        <v>150</v>
      </c>
      <c r="I230" s="28">
        <f t="shared" si="14"/>
        <v>14</v>
      </c>
      <c r="J230" s="28">
        <f t="shared" si="15"/>
        <v>14</v>
      </c>
      <c r="K230" s="29">
        <f t="shared" si="18"/>
        <v>149</v>
      </c>
      <c r="L230" s="24">
        <v>30000</v>
      </c>
      <c r="M230" s="3">
        <v>42000</v>
      </c>
      <c r="N230" s="28">
        <v>100</v>
      </c>
      <c r="P230" s="25" t="s">
        <v>280</v>
      </c>
    </row>
    <row r="231" spans="1:18" s="28" customFormat="1" x14ac:dyDescent="0.25">
      <c r="A231" s="28" t="s">
        <v>27</v>
      </c>
      <c r="B231" s="25" t="s">
        <v>34</v>
      </c>
      <c r="C231" s="25">
        <v>3000</v>
      </c>
      <c r="D231" s="30">
        <v>15</v>
      </c>
      <c r="E231" s="28">
        <v>0.2</v>
      </c>
      <c r="F231" s="3">
        <v>50</v>
      </c>
      <c r="G231" s="28">
        <v>25</v>
      </c>
      <c r="H231" s="28">
        <v>150</v>
      </c>
      <c r="I231" s="28">
        <f t="shared" si="14"/>
        <v>15</v>
      </c>
      <c r="J231" s="28">
        <f t="shared" si="15"/>
        <v>15</v>
      </c>
      <c r="K231" s="29">
        <f t="shared" si="18"/>
        <v>150</v>
      </c>
      <c r="L231" s="24">
        <v>30000</v>
      </c>
      <c r="M231" s="3">
        <v>42000</v>
      </c>
      <c r="N231" s="28">
        <v>100</v>
      </c>
      <c r="P231" s="25" t="s">
        <v>281</v>
      </c>
    </row>
    <row r="232" spans="1:18" s="28" customFormat="1" x14ac:dyDescent="0.25">
      <c r="A232" s="28" t="s">
        <v>27</v>
      </c>
      <c r="B232" s="25" t="s">
        <v>34</v>
      </c>
      <c r="C232" s="25">
        <v>3000</v>
      </c>
      <c r="D232" s="28">
        <v>16</v>
      </c>
      <c r="E232" s="28">
        <v>0.2</v>
      </c>
      <c r="F232" s="3">
        <v>50</v>
      </c>
      <c r="G232" s="28">
        <v>25</v>
      </c>
      <c r="H232" s="28">
        <v>150</v>
      </c>
      <c r="I232" s="28">
        <f t="shared" si="14"/>
        <v>16</v>
      </c>
      <c r="J232" s="28">
        <f t="shared" si="15"/>
        <v>16</v>
      </c>
      <c r="K232" s="29">
        <f t="shared" si="18"/>
        <v>151</v>
      </c>
      <c r="L232" s="24">
        <v>30000</v>
      </c>
      <c r="M232" s="3">
        <v>42000</v>
      </c>
      <c r="N232" s="28">
        <v>100</v>
      </c>
      <c r="P232" s="25" t="s">
        <v>282</v>
      </c>
    </row>
    <row r="233" spans="1:18" s="28" customFormat="1" x14ac:dyDescent="0.25">
      <c r="A233" s="28" t="s">
        <v>27</v>
      </c>
      <c r="B233" s="25" t="s">
        <v>34</v>
      </c>
      <c r="C233" s="25">
        <v>3000</v>
      </c>
      <c r="D233" s="30">
        <v>17</v>
      </c>
      <c r="E233" s="28">
        <v>0.2</v>
      </c>
      <c r="F233" s="3">
        <v>50</v>
      </c>
      <c r="G233" s="28">
        <v>25</v>
      </c>
      <c r="H233" s="28">
        <v>150</v>
      </c>
      <c r="I233" s="28">
        <f t="shared" si="14"/>
        <v>17</v>
      </c>
      <c r="J233" s="28">
        <f t="shared" si="15"/>
        <v>17</v>
      </c>
      <c r="K233" s="29">
        <f t="shared" si="18"/>
        <v>152</v>
      </c>
      <c r="L233" s="24">
        <v>30000</v>
      </c>
      <c r="M233" s="3">
        <v>42000</v>
      </c>
      <c r="N233" s="28">
        <v>100</v>
      </c>
      <c r="P233" s="25" t="s">
        <v>283</v>
      </c>
    </row>
    <row r="234" spans="1:18" s="28" customFormat="1" x14ac:dyDescent="0.25">
      <c r="A234" s="28" t="s">
        <v>27</v>
      </c>
      <c r="B234" s="25" t="s">
        <v>34</v>
      </c>
      <c r="C234" s="25">
        <v>3000</v>
      </c>
      <c r="D234" s="30">
        <v>18</v>
      </c>
      <c r="E234" s="28">
        <v>0.2</v>
      </c>
      <c r="F234" s="3">
        <v>50</v>
      </c>
      <c r="G234" s="28">
        <v>25</v>
      </c>
      <c r="H234" s="28">
        <v>150</v>
      </c>
      <c r="I234" s="28">
        <f t="shared" si="14"/>
        <v>18</v>
      </c>
      <c r="J234" s="28">
        <f t="shared" si="15"/>
        <v>18</v>
      </c>
      <c r="K234" s="29">
        <f t="shared" si="18"/>
        <v>153</v>
      </c>
      <c r="L234" s="24">
        <v>30000</v>
      </c>
      <c r="M234" s="3">
        <v>42000</v>
      </c>
      <c r="N234" s="28">
        <v>100</v>
      </c>
      <c r="P234" s="25" t="s">
        <v>284</v>
      </c>
    </row>
    <row r="235" spans="1:18" s="28" customFormat="1" x14ac:dyDescent="0.25">
      <c r="A235" s="28" t="s">
        <v>27</v>
      </c>
      <c r="B235" s="25" t="s">
        <v>34</v>
      </c>
      <c r="C235" s="25">
        <v>3000</v>
      </c>
      <c r="D235" s="28">
        <v>19</v>
      </c>
      <c r="E235" s="28">
        <v>0.2</v>
      </c>
      <c r="F235" s="3">
        <v>50</v>
      </c>
      <c r="G235" s="28">
        <v>25</v>
      </c>
      <c r="H235" s="28">
        <v>150</v>
      </c>
      <c r="I235" s="28">
        <f t="shared" si="14"/>
        <v>19</v>
      </c>
      <c r="J235" s="28">
        <f t="shared" si="15"/>
        <v>19</v>
      </c>
      <c r="K235" s="29">
        <f t="shared" si="18"/>
        <v>154</v>
      </c>
      <c r="L235" s="24">
        <v>30000</v>
      </c>
      <c r="M235" s="3">
        <v>42000</v>
      </c>
      <c r="N235" s="28">
        <v>100</v>
      </c>
      <c r="P235" s="25" t="s">
        <v>285</v>
      </c>
    </row>
    <row r="236" spans="1:18" s="28" customFormat="1" x14ac:dyDescent="0.25">
      <c r="A236" s="28" t="s">
        <v>27</v>
      </c>
      <c r="B236" s="25" t="s">
        <v>34</v>
      </c>
      <c r="C236" s="25">
        <v>3000</v>
      </c>
      <c r="D236" s="30">
        <v>20</v>
      </c>
      <c r="E236" s="28">
        <v>0.2</v>
      </c>
      <c r="F236" s="3">
        <v>50</v>
      </c>
      <c r="G236" s="28">
        <v>25</v>
      </c>
      <c r="H236" s="28">
        <v>150</v>
      </c>
      <c r="I236" s="28">
        <f t="shared" si="14"/>
        <v>20</v>
      </c>
      <c r="J236" s="28">
        <f t="shared" si="15"/>
        <v>20</v>
      </c>
      <c r="K236" s="29">
        <f t="shared" si="18"/>
        <v>155</v>
      </c>
      <c r="L236" s="24">
        <v>30000</v>
      </c>
      <c r="M236" s="3">
        <v>42000</v>
      </c>
      <c r="N236" s="28">
        <v>100</v>
      </c>
      <c r="P236" s="25" t="s">
        <v>286</v>
      </c>
    </row>
    <row r="237" spans="1:18" s="28" customFormat="1" x14ac:dyDescent="0.25">
      <c r="A237" s="28" t="s">
        <v>27</v>
      </c>
      <c r="B237" s="25" t="s">
        <v>34</v>
      </c>
      <c r="C237" s="25">
        <v>3000</v>
      </c>
      <c r="D237" s="30">
        <v>21</v>
      </c>
      <c r="E237" s="28">
        <v>0.2</v>
      </c>
      <c r="F237" s="3">
        <v>50</v>
      </c>
      <c r="G237" s="28">
        <v>25</v>
      </c>
      <c r="H237" s="28">
        <v>150</v>
      </c>
      <c r="I237" s="28">
        <f t="shared" si="14"/>
        <v>21</v>
      </c>
      <c r="J237" s="28">
        <f t="shared" si="15"/>
        <v>21</v>
      </c>
      <c r="K237" s="29">
        <f t="shared" si="18"/>
        <v>156</v>
      </c>
      <c r="L237" s="24">
        <v>30000</v>
      </c>
      <c r="M237" s="3">
        <v>42000</v>
      </c>
      <c r="N237" s="28">
        <v>100</v>
      </c>
      <c r="P237" s="25" t="s">
        <v>287</v>
      </c>
    </row>
    <row r="238" spans="1:18" s="28" customFormat="1" x14ac:dyDescent="0.25">
      <c r="A238" s="28" t="s">
        <v>27</v>
      </c>
      <c r="B238" s="25" t="s">
        <v>34</v>
      </c>
      <c r="C238" s="25">
        <v>3000</v>
      </c>
      <c r="D238" s="28">
        <v>22</v>
      </c>
      <c r="E238" s="28">
        <v>0.2</v>
      </c>
      <c r="F238" s="3">
        <v>50</v>
      </c>
      <c r="G238" s="28">
        <v>25</v>
      </c>
      <c r="H238" s="28">
        <v>150</v>
      </c>
      <c r="I238" s="28">
        <f t="shared" si="14"/>
        <v>22</v>
      </c>
      <c r="J238" s="28">
        <f t="shared" si="15"/>
        <v>22</v>
      </c>
      <c r="K238" s="29">
        <f t="shared" si="18"/>
        <v>157</v>
      </c>
      <c r="L238" s="24">
        <v>30000</v>
      </c>
      <c r="M238" s="3">
        <v>42000</v>
      </c>
      <c r="N238" s="28">
        <v>100</v>
      </c>
      <c r="P238" s="25" t="s">
        <v>288</v>
      </c>
    </row>
    <row r="239" spans="1:18" s="28" customFormat="1" x14ac:dyDescent="0.25">
      <c r="A239" s="28" t="s">
        <v>27</v>
      </c>
      <c r="B239" s="25" t="s">
        <v>34</v>
      </c>
      <c r="C239" s="25">
        <v>3000</v>
      </c>
      <c r="D239" s="30">
        <v>23</v>
      </c>
      <c r="E239" s="28">
        <v>0.2</v>
      </c>
      <c r="F239" s="3">
        <v>50</v>
      </c>
      <c r="G239" s="28">
        <v>25</v>
      </c>
      <c r="H239" s="28">
        <v>150</v>
      </c>
      <c r="I239" s="28">
        <f t="shared" si="14"/>
        <v>23</v>
      </c>
      <c r="J239" s="28">
        <f t="shared" si="15"/>
        <v>23</v>
      </c>
      <c r="K239" s="29">
        <f t="shared" si="18"/>
        <v>158</v>
      </c>
      <c r="L239" s="24">
        <v>30000</v>
      </c>
      <c r="M239" s="3">
        <v>42000</v>
      </c>
      <c r="N239" s="28">
        <v>100</v>
      </c>
      <c r="P239" s="25" t="s">
        <v>289</v>
      </c>
    </row>
    <row r="240" spans="1:18" s="28" customFormat="1" x14ac:dyDescent="0.25">
      <c r="A240" s="28" t="s">
        <v>27</v>
      </c>
      <c r="B240" s="25" t="s">
        <v>34</v>
      </c>
      <c r="C240" s="25">
        <v>3000</v>
      </c>
      <c r="D240" s="30">
        <v>24</v>
      </c>
      <c r="E240" s="28">
        <v>0.2</v>
      </c>
      <c r="F240" s="3">
        <v>50</v>
      </c>
      <c r="G240" s="28">
        <v>25</v>
      </c>
      <c r="H240" s="28">
        <v>150</v>
      </c>
      <c r="I240" s="28">
        <f t="shared" si="14"/>
        <v>24</v>
      </c>
      <c r="J240" s="28">
        <f t="shared" si="15"/>
        <v>24</v>
      </c>
      <c r="K240" s="29">
        <f t="shared" si="18"/>
        <v>159</v>
      </c>
      <c r="L240" s="24">
        <v>30000</v>
      </c>
      <c r="M240" s="3">
        <v>42000</v>
      </c>
      <c r="N240" s="28">
        <v>100</v>
      </c>
      <c r="P240" s="25" t="s">
        <v>290</v>
      </c>
    </row>
    <row r="241" spans="1:16" s="28" customFormat="1" x14ac:dyDescent="0.25">
      <c r="A241" s="28" t="s">
        <v>27</v>
      </c>
      <c r="B241" s="25" t="s">
        <v>34</v>
      </c>
      <c r="C241" s="25">
        <v>3000</v>
      </c>
      <c r="D241" s="28">
        <v>25</v>
      </c>
      <c r="E241" s="28">
        <v>0.2</v>
      </c>
      <c r="F241" s="3">
        <v>50</v>
      </c>
      <c r="G241" s="28">
        <v>25</v>
      </c>
      <c r="H241" s="28">
        <v>150</v>
      </c>
      <c r="I241" s="28">
        <f t="shared" si="14"/>
        <v>25</v>
      </c>
      <c r="J241" s="28">
        <f t="shared" si="15"/>
        <v>25</v>
      </c>
      <c r="K241" s="29">
        <f t="shared" si="18"/>
        <v>160</v>
      </c>
      <c r="L241" s="24">
        <v>30000</v>
      </c>
      <c r="M241" s="3">
        <v>42000</v>
      </c>
      <c r="N241" s="28">
        <v>100</v>
      </c>
      <c r="P241" s="25" t="s">
        <v>291</v>
      </c>
    </row>
    <row r="242" spans="1:16" s="28" customFormat="1" x14ac:dyDescent="0.25">
      <c r="A242" s="28" t="s">
        <v>27</v>
      </c>
      <c r="B242" s="25" t="s">
        <v>34</v>
      </c>
      <c r="C242" s="25">
        <v>3000</v>
      </c>
      <c r="D242" s="30">
        <v>26</v>
      </c>
      <c r="E242" s="28">
        <v>0.2</v>
      </c>
      <c r="F242" s="3">
        <v>50</v>
      </c>
      <c r="G242" s="28">
        <v>25</v>
      </c>
      <c r="H242" s="28">
        <v>150</v>
      </c>
      <c r="I242" s="28">
        <f t="shared" si="14"/>
        <v>26</v>
      </c>
      <c r="J242" s="28">
        <f t="shared" si="15"/>
        <v>26</v>
      </c>
      <c r="K242" s="29">
        <f t="shared" si="18"/>
        <v>161</v>
      </c>
      <c r="L242" s="24">
        <v>30000</v>
      </c>
      <c r="M242" s="3">
        <v>42000</v>
      </c>
      <c r="N242" s="28">
        <v>100</v>
      </c>
      <c r="P242" s="25" t="s">
        <v>292</v>
      </c>
    </row>
    <row r="243" spans="1:16" s="28" customFormat="1" x14ac:dyDescent="0.25">
      <c r="A243" s="28" t="s">
        <v>27</v>
      </c>
      <c r="B243" s="25" t="s">
        <v>34</v>
      </c>
      <c r="C243" s="25">
        <v>3000</v>
      </c>
      <c r="D243" s="30">
        <v>27</v>
      </c>
      <c r="E243" s="28">
        <v>0.2</v>
      </c>
      <c r="F243" s="3">
        <v>50</v>
      </c>
      <c r="G243" s="28">
        <v>25</v>
      </c>
      <c r="H243" s="28">
        <v>150</v>
      </c>
      <c r="I243" s="28">
        <f t="shared" si="14"/>
        <v>27</v>
      </c>
      <c r="J243" s="28">
        <f t="shared" si="15"/>
        <v>27</v>
      </c>
      <c r="K243" s="29">
        <f t="shared" si="18"/>
        <v>162</v>
      </c>
      <c r="L243" s="24">
        <v>30000</v>
      </c>
      <c r="M243" s="3">
        <v>42000</v>
      </c>
      <c r="N243" s="28">
        <v>100</v>
      </c>
      <c r="P243" s="25" t="s">
        <v>293</v>
      </c>
    </row>
    <row r="244" spans="1:16" s="28" customFormat="1" x14ac:dyDescent="0.25">
      <c r="A244" s="28" t="s">
        <v>27</v>
      </c>
      <c r="B244" s="25" t="s">
        <v>34</v>
      </c>
      <c r="C244" s="25">
        <v>3000</v>
      </c>
      <c r="D244" s="28">
        <v>28</v>
      </c>
      <c r="E244" s="28">
        <v>0.2</v>
      </c>
      <c r="F244" s="3">
        <v>50</v>
      </c>
      <c r="G244" s="28">
        <v>25</v>
      </c>
      <c r="H244" s="28">
        <v>150</v>
      </c>
      <c r="I244" s="28">
        <f t="shared" si="14"/>
        <v>28</v>
      </c>
      <c r="J244" s="28">
        <f t="shared" si="15"/>
        <v>28</v>
      </c>
      <c r="K244" s="29">
        <f t="shared" si="18"/>
        <v>163</v>
      </c>
      <c r="L244" s="24">
        <v>30000</v>
      </c>
      <c r="M244" s="3">
        <v>42000</v>
      </c>
      <c r="N244" s="28">
        <v>100</v>
      </c>
      <c r="P244" s="25" t="s">
        <v>294</v>
      </c>
    </row>
    <row r="245" spans="1:16" s="28" customFormat="1" x14ac:dyDescent="0.25">
      <c r="A245" s="28" t="s">
        <v>27</v>
      </c>
      <c r="B245" s="25" t="s">
        <v>34</v>
      </c>
      <c r="C245" s="25">
        <v>3000</v>
      </c>
      <c r="D245" s="30">
        <v>29</v>
      </c>
      <c r="E245" s="28">
        <v>0.2</v>
      </c>
      <c r="F245" s="3">
        <v>50</v>
      </c>
      <c r="G245" s="28">
        <v>25</v>
      </c>
      <c r="H245" s="28">
        <v>150</v>
      </c>
      <c r="I245" s="28">
        <f t="shared" si="14"/>
        <v>29</v>
      </c>
      <c r="J245" s="28">
        <f t="shared" si="15"/>
        <v>29</v>
      </c>
      <c r="K245" s="29">
        <f t="shared" si="18"/>
        <v>164</v>
      </c>
      <c r="L245" s="24">
        <v>30000</v>
      </c>
      <c r="M245" s="3">
        <v>42000</v>
      </c>
      <c r="N245" s="28">
        <v>100</v>
      </c>
      <c r="P245" s="25" t="s">
        <v>295</v>
      </c>
    </row>
    <row r="246" spans="1:16" s="28" customFormat="1" x14ac:dyDescent="0.25">
      <c r="A246" s="28" t="s">
        <v>27</v>
      </c>
      <c r="B246" s="25" t="s">
        <v>34</v>
      </c>
      <c r="C246" s="25">
        <v>3000</v>
      </c>
      <c r="D246" s="30">
        <v>30</v>
      </c>
      <c r="E246" s="28">
        <v>0.2</v>
      </c>
      <c r="F246" s="3">
        <v>50</v>
      </c>
      <c r="G246" s="28">
        <v>25</v>
      </c>
      <c r="H246" s="28">
        <v>150</v>
      </c>
      <c r="I246" s="28">
        <f t="shared" si="14"/>
        <v>30</v>
      </c>
      <c r="J246" s="28">
        <f t="shared" si="15"/>
        <v>30</v>
      </c>
      <c r="K246" s="29">
        <f t="shared" si="18"/>
        <v>165</v>
      </c>
      <c r="L246" s="24">
        <v>30000</v>
      </c>
      <c r="M246" s="3">
        <v>42000</v>
      </c>
      <c r="N246" s="28">
        <v>100</v>
      </c>
      <c r="P246" s="25" t="s">
        <v>296</v>
      </c>
    </row>
    <row r="247" spans="1:16" s="28" customFormat="1" x14ac:dyDescent="0.25">
      <c r="A247" s="28" t="s">
        <v>27</v>
      </c>
      <c r="B247" s="25" t="s">
        <v>34</v>
      </c>
      <c r="C247" s="25">
        <v>3000</v>
      </c>
      <c r="D247" s="28">
        <v>31</v>
      </c>
      <c r="E247" s="28">
        <v>0.2</v>
      </c>
      <c r="F247" s="3">
        <v>50</v>
      </c>
      <c r="G247" s="28">
        <v>25</v>
      </c>
      <c r="H247" s="28">
        <v>150</v>
      </c>
      <c r="I247" s="28">
        <f t="shared" si="14"/>
        <v>31</v>
      </c>
      <c r="J247" s="28">
        <f t="shared" si="15"/>
        <v>31</v>
      </c>
      <c r="K247" s="29">
        <f t="shared" si="18"/>
        <v>166</v>
      </c>
      <c r="L247" s="24">
        <v>30000</v>
      </c>
      <c r="M247" s="3">
        <v>42000</v>
      </c>
      <c r="N247" s="28">
        <v>100</v>
      </c>
      <c r="P247" s="25" t="s">
        <v>297</v>
      </c>
    </row>
    <row r="248" spans="1:16" s="28" customFormat="1" x14ac:dyDescent="0.25">
      <c r="A248" s="28" t="s">
        <v>27</v>
      </c>
      <c r="B248" s="25" t="s">
        <v>34</v>
      </c>
      <c r="C248" s="25">
        <v>3000</v>
      </c>
      <c r="D248" s="30">
        <v>32</v>
      </c>
      <c r="E248" s="28">
        <v>0.2</v>
      </c>
      <c r="F248" s="3">
        <v>50</v>
      </c>
      <c r="G248" s="28">
        <v>25</v>
      </c>
      <c r="H248" s="28">
        <v>150</v>
      </c>
      <c r="I248" s="28">
        <f t="shared" si="14"/>
        <v>32</v>
      </c>
      <c r="J248" s="28">
        <f t="shared" si="15"/>
        <v>32</v>
      </c>
      <c r="K248" s="29">
        <f t="shared" si="18"/>
        <v>167</v>
      </c>
      <c r="L248" s="24">
        <v>30000</v>
      </c>
      <c r="M248" s="3">
        <v>42000</v>
      </c>
      <c r="N248" s="28">
        <v>100</v>
      </c>
      <c r="P248" s="25" t="s">
        <v>298</v>
      </c>
    </row>
    <row r="249" spans="1:16" s="28" customFormat="1" x14ac:dyDescent="0.25">
      <c r="A249" s="28" t="s">
        <v>27</v>
      </c>
      <c r="B249" s="25" t="s">
        <v>34</v>
      </c>
      <c r="C249" s="25">
        <v>3000</v>
      </c>
      <c r="D249" s="30">
        <v>33</v>
      </c>
      <c r="E249" s="28">
        <v>0.2</v>
      </c>
      <c r="F249" s="3">
        <v>50</v>
      </c>
      <c r="G249" s="28">
        <v>25</v>
      </c>
      <c r="H249" s="28">
        <v>150</v>
      </c>
      <c r="I249" s="28">
        <f t="shared" si="14"/>
        <v>33</v>
      </c>
      <c r="J249" s="28">
        <f t="shared" si="15"/>
        <v>33</v>
      </c>
      <c r="K249" s="29">
        <f t="shared" si="18"/>
        <v>168</v>
      </c>
      <c r="L249" s="24">
        <v>30000</v>
      </c>
      <c r="M249" s="3">
        <v>42000</v>
      </c>
      <c r="N249" s="28">
        <v>100</v>
      </c>
      <c r="P249" s="25" t="s">
        <v>299</v>
      </c>
    </row>
    <row r="250" spans="1:16" s="28" customFormat="1" x14ac:dyDescent="0.25">
      <c r="A250" s="28" t="s">
        <v>27</v>
      </c>
      <c r="B250" s="25" t="s">
        <v>34</v>
      </c>
      <c r="C250" s="25">
        <v>3000</v>
      </c>
      <c r="D250" s="28">
        <v>34</v>
      </c>
      <c r="E250" s="28">
        <v>0.2</v>
      </c>
      <c r="F250" s="3">
        <v>50</v>
      </c>
      <c r="G250" s="28">
        <v>25</v>
      </c>
      <c r="H250" s="28">
        <v>150</v>
      </c>
      <c r="I250" s="28">
        <f t="shared" si="14"/>
        <v>34</v>
      </c>
      <c r="J250" s="28">
        <f t="shared" si="15"/>
        <v>34</v>
      </c>
      <c r="K250" s="29">
        <f t="shared" si="18"/>
        <v>169</v>
      </c>
      <c r="L250" s="24">
        <v>30000</v>
      </c>
      <c r="M250" s="3">
        <v>42000</v>
      </c>
      <c r="N250" s="28">
        <v>100</v>
      </c>
      <c r="P250" s="25" t="s">
        <v>300</v>
      </c>
    </row>
    <row r="251" spans="1:16" s="28" customFormat="1" x14ac:dyDescent="0.25">
      <c r="A251" s="28" t="s">
        <v>27</v>
      </c>
      <c r="B251" s="25" t="s">
        <v>34</v>
      </c>
      <c r="C251" s="25">
        <v>3000</v>
      </c>
      <c r="D251" s="30">
        <v>35</v>
      </c>
      <c r="E251" s="28">
        <v>0.2</v>
      </c>
      <c r="F251" s="3">
        <v>50</v>
      </c>
      <c r="G251" s="28">
        <v>25</v>
      </c>
      <c r="H251" s="28">
        <v>150</v>
      </c>
      <c r="I251" s="28">
        <f t="shared" si="14"/>
        <v>35</v>
      </c>
      <c r="J251" s="28">
        <f t="shared" si="15"/>
        <v>35</v>
      </c>
      <c r="K251" s="29">
        <f t="shared" si="18"/>
        <v>170</v>
      </c>
      <c r="L251" s="24">
        <v>30000</v>
      </c>
      <c r="M251" s="3">
        <v>42000</v>
      </c>
      <c r="N251" s="28">
        <v>100</v>
      </c>
      <c r="P251" s="25" t="s">
        <v>301</v>
      </c>
    </row>
    <row r="252" spans="1:16" s="28" customFormat="1" x14ac:dyDescent="0.25">
      <c r="A252" s="28" t="s">
        <v>27</v>
      </c>
      <c r="B252" s="25" t="s">
        <v>34</v>
      </c>
      <c r="C252" s="25">
        <v>3000</v>
      </c>
      <c r="D252" s="30">
        <v>36</v>
      </c>
      <c r="E252" s="28">
        <v>0.2</v>
      </c>
      <c r="F252" s="3">
        <v>50</v>
      </c>
      <c r="G252" s="28">
        <v>25</v>
      </c>
      <c r="H252" s="28">
        <v>150</v>
      </c>
      <c r="I252" s="28">
        <f t="shared" si="14"/>
        <v>36</v>
      </c>
      <c r="J252" s="28">
        <f t="shared" si="15"/>
        <v>36</v>
      </c>
      <c r="K252" s="29">
        <f t="shared" si="18"/>
        <v>171</v>
      </c>
      <c r="L252" s="24">
        <v>30000</v>
      </c>
      <c r="M252" s="3">
        <v>42000</v>
      </c>
      <c r="N252" s="28">
        <v>100</v>
      </c>
      <c r="P252" s="25" t="s">
        <v>302</v>
      </c>
    </row>
    <row r="253" spans="1:16" s="28" customFormat="1" x14ac:dyDescent="0.25">
      <c r="A253" s="28" t="s">
        <v>27</v>
      </c>
      <c r="B253" s="25" t="s">
        <v>34</v>
      </c>
      <c r="C253" s="25">
        <v>3000</v>
      </c>
      <c r="D253" s="28">
        <v>37</v>
      </c>
      <c r="E253" s="28">
        <v>0.2</v>
      </c>
      <c r="F253" s="3">
        <v>50</v>
      </c>
      <c r="G253" s="28">
        <v>25</v>
      </c>
      <c r="H253" s="28">
        <v>150</v>
      </c>
      <c r="I253" s="28">
        <f t="shared" si="14"/>
        <v>37</v>
      </c>
      <c r="J253" s="28">
        <f t="shared" si="15"/>
        <v>37</v>
      </c>
      <c r="K253" s="29">
        <f t="shared" si="18"/>
        <v>172</v>
      </c>
      <c r="L253" s="24">
        <v>30000</v>
      </c>
      <c r="M253" s="3">
        <v>42000</v>
      </c>
      <c r="N253" s="28">
        <v>100</v>
      </c>
      <c r="P253" s="25" t="s">
        <v>303</v>
      </c>
    </row>
    <row r="254" spans="1:16" s="28" customFormat="1" x14ac:dyDescent="0.25">
      <c r="A254" s="28" t="s">
        <v>27</v>
      </c>
      <c r="B254" s="25" t="s">
        <v>34</v>
      </c>
      <c r="C254" s="25">
        <v>3000</v>
      </c>
      <c r="D254" s="30">
        <v>38</v>
      </c>
      <c r="E254" s="28">
        <v>0.2</v>
      </c>
      <c r="F254" s="3">
        <v>50</v>
      </c>
      <c r="G254" s="28">
        <v>25</v>
      </c>
      <c r="H254" s="28">
        <v>150</v>
      </c>
      <c r="I254" s="28">
        <f t="shared" si="14"/>
        <v>38</v>
      </c>
      <c r="J254" s="28">
        <f t="shared" si="15"/>
        <v>38</v>
      </c>
      <c r="K254" s="29">
        <f t="shared" si="18"/>
        <v>173</v>
      </c>
      <c r="L254" s="24">
        <v>30000</v>
      </c>
      <c r="M254" s="3">
        <v>42000</v>
      </c>
      <c r="N254" s="28">
        <v>100</v>
      </c>
      <c r="P254" s="25" t="s">
        <v>304</v>
      </c>
    </row>
    <row r="255" spans="1:16" s="28" customFormat="1" x14ac:dyDescent="0.25">
      <c r="A255" s="28" t="s">
        <v>27</v>
      </c>
      <c r="B255" s="25" t="s">
        <v>34</v>
      </c>
      <c r="C255" s="25">
        <v>3000</v>
      </c>
      <c r="D255" s="30">
        <v>39</v>
      </c>
      <c r="E255" s="28">
        <v>0.2</v>
      </c>
      <c r="F255" s="3">
        <v>50</v>
      </c>
      <c r="G255" s="28">
        <v>25</v>
      </c>
      <c r="H255" s="28">
        <v>150</v>
      </c>
      <c r="I255" s="28">
        <f t="shared" si="14"/>
        <v>39</v>
      </c>
      <c r="J255" s="28">
        <f t="shared" si="15"/>
        <v>39</v>
      </c>
      <c r="K255" s="29">
        <f t="shared" si="18"/>
        <v>174</v>
      </c>
      <c r="L255" s="24">
        <v>30000</v>
      </c>
      <c r="M255" s="3">
        <v>42000</v>
      </c>
      <c r="N255" s="28">
        <v>100</v>
      </c>
      <c r="P255" s="25" t="s">
        <v>305</v>
      </c>
    </row>
    <row r="256" spans="1:16" s="28" customFormat="1" x14ac:dyDescent="0.25">
      <c r="A256" s="28" t="s">
        <v>27</v>
      </c>
      <c r="B256" s="25" t="s">
        <v>34</v>
      </c>
      <c r="C256" s="25">
        <v>3000</v>
      </c>
      <c r="D256" s="28">
        <v>40</v>
      </c>
      <c r="E256" s="28">
        <v>0.2</v>
      </c>
      <c r="F256" s="3">
        <v>50</v>
      </c>
      <c r="G256" s="28">
        <v>25</v>
      </c>
      <c r="H256" s="28">
        <v>150</v>
      </c>
      <c r="I256" s="28">
        <f t="shared" si="14"/>
        <v>40</v>
      </c>
      <c r="J256" s="28">
        <f t="shared" si="15"/>
        <v>40</v>
      </c>
      <c r="K256" s="29">
        <f t="shared" si="18"/>
        <v>175</v>
      </c>
      <c r="L256" s="24">
        <v>30000</v>
      </c>
      <c r="M256" s="3">
        <v>42000</v>
      </c>
      <c r="N256" s="28">
        <v>100</v>
      </c>
      <c r="P256" s="25" t="s">
        <v>306</v>
      </c>
    </row>
    <row r="257" spans="1:16" s="28" customFormat="1" x14ac:dyDescent="0.25">
      <c r="A257" s="28" t="s">
        <v>27</v>
      </c>
      <c r="B257" s="25" t="s">
        <v>34</v>
      </c>
      <c r="C257" s="25">
        <v>3000</v>
      </c>
      <c r="D257" s="30">
        <v>41</v>
      </c>
      <c r="E257" s="28">
        <v>0.2</v>
      </c>
      <c r="F257" s="3">
        <v>50</v>
      </c>
      <c r="G257" s="28">
        <v>25</v>
      </c>
      <c r="H257" s="28">
        <v>150</v>
      </c>
      <c r="I257" s="28">
        <f t="shared" si="14"/>
        <v>41</v>
      </c>
      <c r="J257" s="28">
        <f t="shared" si="15"/>
        <v>41</v>
      </c>
      <c r="K257" s="29">
        <f t="shared" si="18"/>
        <v>176</v>
      </c>
      <c r="L257" s="24">
        <v>30000</v>
      </c>
      <c r="M257" s="3">
        <v>42000</v>
      </c>
      <c r="N257" s="28">
        <v>100</v>
      </c>
      <c r="P257" s="25" t="s">
        <v>307</v>
      </c>
    </row>
    <row r="258" spans="1:16" s="28" customFormat="1" x14ac:dyDescent="0.25">
      <c r="A258" s="28" t="s">
        <v>27</v>
      </c>
      <c r="B258" s="25" t="s">
        <v>34</v>
      </c>
      <c r="C258" s="25">
        <v>3000</v>
      </c>
      <c r="D258" s="30">
        <v>42</v>
      </c>
      <c r="E258" s="28">
        <v>0.2</v>
      </c>
      <c r="F258" s="3">
        <v>50</v>
      </c>
      <c r="G258" s="28">
        <v>25</v>
      </c>
      <c r="H258" s="28">
        <v>150</v>
      </c>
      <c r="I258" s="28">
        <f t="shared" si="14"/>
        <v>42</v>
      </c>
      <c r="J258" s="28">
        <f t="shared" si="15"/>
        <v>42</v>
      </c>
      <c r="K258" s="29">
        <f t="shared" si="18"/>
        <v>177</v>
      </c>
      <c r="L258" s="24">
        <v>30000</v>
      </c>
      <c r="M258" s="3">
        <v>42000</v>
      </c>
      <c r="N258" s="28">
        <v>100</v>
      </c>
      <c r="P258" s="25" t="s">
        <v>308</v>
      </c>
    </row>
    <row r="259" spans="1:16" s="28" customFormat="1" x14ac:dyDescent="0.25">
      <c r="A259" s="28" t="s">
        <v>27</v>
      </c>
      <c r="B259" s="25" t="s">
        <v>34</v>
      </c>
      <c r="C259" s="25">
        <v>3000</v>
      </c>
      <c r="D259" s="28">
        <v>43</v>
      </c>
      <c r="E259" s="28">
        <v>0.2</v>
      </c>
      <c r="F259" s="3">
        <v>50</v>
      </c>
      <c r="G259" s="28">
        <v>25</v>
      </c>
      <c r="H259" s="28">
        <v>150</v>
      </c>
      <c r="I259" s="28">
        <f t="shared" si="14"/>
        <v>43</v>
      </c>
      <c r="J259" s="28">
        <f t="shared" si="15"/>
        <v>43</v>
      </c>
      <c r="K259" s="29">
        <f t="shared" si="18"/>
        <v>178</v>
      </c>
      <c r="L259" s="24">
        <v>30000</v>
      </c>
      <c r="M259" s="3">
        <v>42000</v>
      </c>
      <c r="N259" s="28">
        <v>100</v>
      </c>
      <c r="P259" s="25" t="s">
        <v>309</v>
      </c>
    </row>
    <row r="260" spans="1:16" s="28" customFormat="1" x14ac:dyDescent="0.25">
      <c r="A260" s="28" t="s">
        <v>27</v>
      </c>
      <c r="B260" s="25" t="s">
        <v>34</v>
      </c>
      <c r="C260" s="25">
        <v>3000</v>
      </c>
      <c r="D260" s="30">
        <v>44</v>
      </c>
      <c r="E260" s="28">
        <v>0.2</v>
      </c>
      <c r="F260" s="3">
        <v>50</v>
      </c>
      <c r="G260" s="28">
        <v>25</v>
      </c>
      <c r="H260" s="28">
        <v>150</v>
      </c>
      <c r="I260" s="28">
        <f t="shared" si="14"/>
        <v>44</v>
      </c>
      <c r="J260" s="28">
        <f t="shared" si="15"/>
        <v>44</v>
      </c>
      <c r="K260" s="29">
        <f t="shared" si="18"/>
        <v>179</v>
      </c>
      <c r="L260" s="24">
        <v>30000</v>
      </c>
      <c r="M260" s="3">
        <v>42000</v>
      </c>
      <c r="N260" s="28">
        <v>100</v>
      </c>
      <c r="P260" s="25" t="s">
        <v>310</v>
      </c>
    </row>
    <row r="261" spans="1:16" s="28" customFormat="1" x14ac:dyDescent="0.25">
      <c r="A261" s="28" t="s">
        <v>27</v>
      </c>
      <c r="B261" s="25" t="s">
        <v>34</v>
      </c>
      <c r="C261" s="25">
        <v>3000</v>
      </c>
      <c r="D261" s="30">
        <v>45</v>
      </c>
      <c r="E261" s="28">
        <v>0.2</v>
      </c>
      <c r="F261" s="3">
        <v>50</v>
      </c>
      <c r="G261" s="28">
        <v>25</v>
      </c>
      <c r="H261" s="28">
        <v>150</v>
      </c>
      <c r="I261" s="28">
        <f t="shared" si="14"/>
        <v>45</v>
      </c>
      <c r="J261" s="28">
        <f t="shared" si="15"/>
        <v>45</v>
      </c>
      <c r="K261" s="29">
        <f t="shared" si="18"/>
        <v>180</v>
      </c>
      <c r="L261" s="24">
        <v>30000</v>
      </c>
      <c r="M261" s="3">
        <v>42000</v>
      </c>
      <c r="N261" s="28">
        <v>100</v>
      </c>
      <c r="P261" s="25" t="s">
        <v>311</v>
      </c>
    </row>
    <row r="262" spans="1:16" s="28" customFormat="1" x14ac:dyDescent="0.25">
      <c r="A262" s="28" t="s">
        <v>27</v>
      </c>
      <c r="B262" s="25" t="s">
        <v>34</v>
      </c>
      <c r="C262" s="25">
        <v>3000</v>
      </c>
      <c r="D262" s="28">
        <v>46</v>
      </c>
      <c r="E262" s="28">
        <v>0.2</v>
      </c>
      <c r="F262" s="3">
        <v>50</v>
      </c>
      <c r="G262" s="28">
        <v>25</v>
      </c>
      <c r="H262" s="28">
        <v>150</v>
      </c>
      <c r="I262" s="28">
        <f t="shared" si="14"/>
        <v>46</v>
      </c>
      <c r="J262" s="28">
        <f t="shared" si="15"/>
        <v>46</v>
      </c>
      <c r="K262" s="29">
        <f t="shared" si="18"/>
        <v>181</v>
      </c>
      <c r="L262" s="24">
        <v>30000</v>
      </c>
      <c r="M262" s="3">
        <v>42000</v>
      </c>
      <c r="N262" s="28">
        <v>100</v>
      </c>
      <c r="P262" s="25" t="s">
        <v>312</v>
      </c>
    </row>
    <row r="263" spans="1:16" s="28" customFormat="1" x14ac:dyDescent="0.25">
      <c r="A263" s="28" t="s">
        <v>27</v>
      </c>
      <c r="B263" s="25" t="s">
        <v>34</v>
      </c>
      <c r="C263" s="25">
        <v>3000</v>
      </c>
      <c r="D263" s="30">
        <v>47</v>
      </c>
      <c r="E263" s="28">
        <v>0.2</v>
      </c>
      <c r="F263" s="3">
        <v>50</v>
      </c>
      <c r="G263" s="28">
        <v>25</v>
      </c>
      <c r="H263" s="28">
        <v>150</v>
      </c>
      <c r="I263" s="28">
        <f t="shared" si="14"/>
        <v>47</v>
      </c>
      <c r="J263" s="28">
        <f t="shared" si="15"/>
        <v>47</v>
      </c>
      <c r="K263" s="29">
        <f t="shared" si="18"/>
        <v>182</v>
      </c>
      <c r="L263" s="24">
        <v>30000</v>
      </c>
      <c r="M263" s="3">
        <v>42000</v>
      </c>
      <c r="N263" s="28">
        <v>100</v>
      </c>
      <c r="P263" s="25" t="s">
        <v>313</v>
      </c>
    </row>
    <row r="264" spans="1:16" s="28" customFormat="1" x14ac:dyDescent="0.25">
      <c r="A264" s="28" t="s">
        <v>27</v>
      </c>
      <c r="B264" s="25" t="s">
        <v>34</v>
      </c>
      <c r="C264" s="25">
        <v>3000</v>
      </c>
      <c r="D264" s="30">
        <v>48</v>
      </c>
      <c r="E264" s="28">
        <v>0.2</v>
      </c>
      <c r="F264" s="3">
        <v>50</v>
      </c>
      <c r="G264" s="28">
        <v>25</v>
      </c>
      <c r="H264" s="28">
        <v>150</v>
      </c>
      <c r="I264" s="28">
        <f t="shared" si="14"/>
        <v>48</v>
      </c>
      <c r="J264" s="28">
        <f t="shared" si="15"/>
        <v>48</v>
      </c>
      <c r="K264" s="29">
        <f t="shared" si="18"/>
        <v>183</v>
      </c>
      <c r="L264" s="24">
        <v>30000</v>
      </c>
      <c r="M264" s="3">
        <v>42000</v>
      </c>
      <c r="N264" s="28">
        <v>100</v>
      </c>
      <c r="P264" s="25" t="s">
        <v>314</v>
      </c>
    </row>
    <row r="265" spans="1:16" s="28" customFormat="1" x14ac:dyDescent="0.25">
      <c r="A265" s="28" t="s">
        <v>27</v>
      </c>
      <c r="B265" s="25" t="s">
        <v>34</v>
      </c>
      <c r="C265" s="25">
        <v>3000</v>
      </c>
      <c r="D265" s="28">
        <v>49</v>
      </c>
      <c r="E265" s="28">
        <v>0.2</v>
      </c>
      <c r="F265" s="3">
        <v>50</v>
      </c>
      <c r="G265" s="28">
        <v>25</v>
      </c>
      <c r="H265" s="28">
        <v>150</v>
      </c>
      <c r="I265" s="28">
        <f t="shared" si="14"/>
        <v>49</v>
      </c>
      <c r="J265" s="28">
        <f t="shared" si="15"/>
        <v>49</v>
      </c>
      <c r="K265" s="29">
        <f t="shared" si="18"/>
        <v>184</v>
      </c>
      <c r="L265" s="24">
        <v>30000</v>
      </c>
      <c r="M265" s="3">
        <v>42000</v>
      </c>
      <c r="N265" s="28">
        <v>100</v>
      </c>
      <c r="P265" s="25" t="s">
        <v>315</v>
      </c>
    </row>
    <row r="266" spans="1:16" s="28" customFormat="1" x14ac:dyDescent="0.25">
      <c r="A266" s="28" t="s">
        <v>27</v>
      </c>
      <c r="B266" s="25" t="s">
        <v>34</v>
      </c>
      <c r="C266" s="25">
        <v>3000</v>
      </c>
      <c r="D266" s="30">
        <v>50</v>
      </c>
      <c r="E266" s="28">
        <v>0.2</v>
      </c>
      <c r="F266" s="3">
        <v>50</v>
      </c>
      <c r="G266" s="28">
        <v>25</v>
      </c>
      <c r="H266" s="28">
        <v>150</v>
      </c>
      <c r="I266" s="28">
        <f t="shared" si="14"/>
        <v>50</v>
      </c>
      <c r="J266" s="28">
        <f t="shared" si="15"/>
        <v>50</v>
      </c>
      <c r="K266" s="29">
        <f t="shared" si="18"/>
        <v>185</v>
      </c>
      <c r="L266" s="24">
        <v>30000</v>
      </c>
      <c r="M266" s="3">
        <v>42000</v>
      </c>
      <c r="N266" s="28">
        <v>100</v>
      </c>
      <c r="P266" s="25" t="s">
        <v>316</v>
      </c>
    </row>
    <row r="267" spans="1:16" s="28" customFormat="1" x14ac:dyDescent="0.25">
      <c r="A267" s="28" t="s">
        <v>27</v>
      </c>
      <c r="B267" s="25" t="s">
        <v>34</v>
      </c>
      <c r="C267" s="25">
        <v>3000</v>
      </c>
      <c r="D267" s="30">
        <v>51</v>
      </c>
      <c r="E267" s="28">
        <v>0.2</v>
      </c>
      <c r="F267" s="3">
        <v>50</v>
      </c>
      <c r="G267" s="28">
        <v>25</v>
      </c>
      <c r="H267" s="28">
        <v>150</v>
      </c>
      <c r="I267" s="28">
        <f t="shared" si="14"/>
        <v>51</v>
      </c>
      <c r="J267" s="28">
        <f t="shared" si="15"/>
        <v>51</v>
      </c>
      <c r="K267" s="29">
        <f t="shared" si="18"/>
        <v>186</v>
      </c>
      <c r="L267" s="24">
        <v>30000</v>
      </c>
      <c r="M267" s="3">
        <v>42000</v>
      </c>
      <c r="N267" s="28">
        <v>100</v>
      </c>
      <c r="P267" s="25" t="s">
        <v>317</v>
      </c>
    </row>
    <row r="268" spans="1:16" s="28" customFormat="1" x14ac:dyDescent="0.25">
      <c r="A268" s="28" t="s">
        <v>27</v>
      </c>
      <c r="B268" s="25" t="s">
        <v>34</v>
      </c>
      <c r="C268" s="25">
        <v>3000</v>
      </c>
      <c r="D268" s="28">
        <v>52</v>
      </c>
      <c r="E268" s="28">
        <v>0.2</v>
      </c>
      <c r="F268" s="3">
        <v>50</v>
      </c>
      <c r="G268" s="28">
        <v>25</v>
      </c>
      <c r="H268" s="28">
        <v>150</v>
      </c>
      <c r="I268" s="28">
        <f t="shared" ref="I268:I331" si="19">D268</f>
        <v>52</v>
      </c>
      <c r="J268" s="28">
        <f t="shared" ref="J268:J331" si="20">D268</f>
        <v>52</v>
      </c>
      <c r="K268" s="29">
        <f t="shared" si="18"/>
        <v>187</v>
      </c>
      <c r="L268" s="24">
        <v>30000</v>
      </c>
      <c r="M268" s="3">
        <v>42000</v>
      </c>
      <c r="N268" s="28">
        <v>100</v>
      </c>
      <c r="P268" s="25" t="s">
        <v>318</v>
      </c>
    </row>
    <row r="269" spans="1:16" s="28" customFormat="1" x14ac:dyDescent="0.25">
      <c r="A269" s="28" t="s">
        <v>27</v>
      </c>
      <c r="B269" s="25" t="s">
        <v>34</v>
      </c>
      <c r="C269" s="25">
        <v>3000</v>
      </c>
      <c r="D269" s="30">
        <v>53</v>
      </c>
      <c r="E269" s="28">
        <v>0.2</v>
      </c>
      <c r="F269" s="3">
        <v>50</v>
      </c>
      <c r="G269" s="28">
        <v>25</v>
      </c>
      <c r="H269" s="28">
        <v>150</v>
      </c>
      <c r="I269" s="28">
        <f t="shared" si="19"/>
        <v>53</v>
      </c>
      <c r="J269" s="28">
        <f t="shared" si="20"/>
        <v>53</v>
      </c>
      <c r="K269" s="29">
        <f t="shared" si="18"/>
        <v>188</v>
      </c>
      <c r="L269" s="24">
        <v>30000</v>
      </c>
      <c r="M269" s="3">
        <v>42000</v>
      </c>
      <c r="N269" s="28">
        <v>100</v>
      </c>
      <c r="P269" s="25" t="s">
        <v>319</v>
      </c>
    </row>
    <row r="270" spans="1:16" s="28" customFormat="1" x14ac:dyDescent="0.25">
      <c r="A270" s="28" t="s">
        <v>27</v>
      </c>
      <c r="B270" s="25" t="s">
        <v>34</v>
      </c>
      <c r="C270" s="25">
        <v>3000</v>
      </c>
      <c r="D270" s="30">
        <v>54</v>
      </c>
      <c r="E270" s="28">
        <v>0.2</v>
      </c>
      <c r="F270" s="3">
        <v>50</v>
      </c>
      <c r="G270" s="28">
        <v>25</v>
      </c>
      <c r="H270" s="28">
        <v>150</v>
      </c>
      <c r="I270" s="28">
        <f t="shared" si="19"/>
        <v>54</v>
      </c>
      <c r="J270" s="28">
        <f t="shared" si="20"/>
        <v>54</v>
      </c>
      <c r="K270" s="29">
        <f t="shared" si="18"/>
        <v>189</v>
      </c>
      <c r="L270" s="24">
        <v>30000</v>
      </c>
      <c r="M270" s="3">
        <v>42000</v>
      </c>
      <c r="N270" s="28">
        <v>100</v>
      </c>
      <c r="P270" s="25" t="s">
        <v>320</v>
      </c>
    </row>
    <row r="271" spans="1:16" s="28" customFormat="1" x14ac:dyDescent="0.25">
      <c r="A271" s="28" t="s">
        <v>27</v>
      </c>
      <c r="B271" s="25" t="s">
        <v>34</v>
      </c>
      <c r="C271" s="25">
        <v>3000</v>
      </c>
      <c r="D271" s="28">
        <v>55</v>
      </c>
      <c r="E271" s="28">
        <v>0.2</v>
      </c>
      <c r="F271" s="3">
        <v>50</v>
      </c>
      <c r="G271" s="28">
        <v>25</v>
      </c>
      <c r="H271" s="28">
        <v>150</v>
      </c>
      <c r="I271" s="28">
        <f t="shared" si="19"/>
        <v>55</v>
      </c>
      <c r="J271" s="28">
        <f t="shared" si="20"/>
        <v>55</v>
      </c>
      <c r="K271" s="29">
        <f t="shared" si="18"/>
        <v>190</v>
      </c>
      <c r="L271" s="24">
        <v>30000</v>
      </c>
      <c r="M271" s="3">
        <v>42000</v>
      </c>
      <c r="N271" s="28">
        <v>100</v>
      </c>
      <c r="P271" s="25" t="s">
        <v>321</v>
      </c>
    </row>
    <row r="272" spans="1:16" s="28" customFormat="1" x14ac:dyDescent="0.25">
      <c r="A272" s="28" t="s">
        <v>27</v>
      </c>
      <c r="B272" s="25" t="s">
        <v>34</v>
      </c>
      <c r="C272" s="25">
        <v>3000</v>
      </c>
      <c r="D272" s="30">
        <v>56</v>
      </c>
      <c r="E272" s="28">
        <v>0.2</v>
      </c>
      <c r="F272" s="3">
        <v>50</v>
      </c>
      <c r="G272" s="28">
        <v>25</v>
      </c>
      <c r="H272" s="28">
        <v>150</v>
      </c>
      <c r="I272" s="28">
        <f t="shared" si="19"/>
        <v>56</v>
      </c>
      <c r="J272" s="28">
        <f t="shared" si="20"/>
        <v>56</v>
      </c>
      <c r="K272" s="29">
        <f t="shared" si="18"/>
        <v>191</v>
      </c>
      <c r="L272" s="24">
        <v>30000</v>
      </c>
      <c r="M272" s="3">
        <v>42000</v>
      </c>
      <c r="N272" s="28">
        <v>100</v>
      </c>
      <c r="P272" s="25" t="s">
        <v>322</v>
      </c>
    </row>
    <row r="273" spans="1:16" s="28" customFormat="1" x14ac:dyDescent="0.25">
      <c r="A273" s="28" t="s">
        <v>27</v>
      </c>
      <c r="B273" s="25" t="s">
        <v>34</v>
      </c>
      <c r="C273" s="25">
        <v>3000</v>
      </c>
      <c r="D273" s="30">
        <v>57</v>
      </c>
      <c r="E273" s="28">
        <v>0.2</v>
      </c>
      <c r="F273" s="3">
        <v>50</v>
      </c>
      <c r="G273" s="28">
        <v>25</v>
      </c>
      <c r="H273" s="28">
        <v>150</v>
      </c>
      <c r="I273" s="28">
        <f t="shared" si="19"/>
        <v>57</v>
      </c>
      <c r="J273" s="28">
        <f t="shared" si="20"/>
        <v>57</v>
      </c>
      <c r="K273" s="29">
        <f t="shared" si="18"/>
        <v>192</v>
      </c>
      <c r="L273" s="24">
        <v>30000</v>
      </c>
      <c r="M273" s="3">
        <v>42000</v>
      </c>
      <c r="N273" s="28">
        <v>100</v>
      </c>
      <c r="P273" s="25" t="s">
        <v>323</v>
      </c>
    </row>
    <row r="274" spans="1:16" s="28" customFormat="1" x14ac:dyDescent="0.25">
      <c r="A274" s="28" t="s">
        <v>27</v>
      </c>
      <c r="B274" s="25" t="s">
        <v>34</v>
      </c>
      <c r="C274" s="25">
        <v>3000</v>
      </c>
      <c r="D274" s="28">
        <v>58</v>
      </c>
      <c r="E274" s="28">
        <v>0.2</v>
      </c>
      <c r="F274" s="3">
        <v>50</v>
      </c>
      <c r="G274" s="28">
        <v>25</v>
      </c>
      <c r="H274" s="28">
        <v>150</v>
      </c>
      <c r="I274" s="28">
        <f t="shared" si="19"/>
        <v>58</v>
      </c>
      <c r="J274" s="28">
        <f t="shared" si="20"/>
        <v>58</v>
      </c>
      <c r="K274" s="29">
        <f t="shared" si="18"/>
        <v>193</v>
      </c>
      <c r="L274" s="24">
        <v>30000</v>
      </c>
      <c r="M274" s="3">
        <v>42000</v>
      </c>
      <c r="N274" s="28">
        <v>100</v>
      </c>
      <c r="P274" s="25" t="s">
        <v>324</v>
      </c>
    </row>
    <row r="275" spans="1:16" s="28" customFormat="1" x14ac:dyDescent="0.25">
      <c r="A275" s="28" t="s">
        <v>27</v>
      </c>
      <c r="B275" s="25" t="s">
        <v>34</v>
      </c>
      <c r="C275" s="25">
        <v>3000</v>
      </c>
      <c r="D275" s="30">
        <v>59</v>
      </c>
      <c r="E275" s="28">
        <v>0.2</v>
      </c>
      <c r="F275" s="3">
        <v>50</v>
      </c>
      <c r="G275" s="28">
        <v>25</v>
      </c>
      <c r="H275" s="28">
        <v>150</v>
      </c>
      <c r="I275" s="28">
        <f t="shared" si="19"/>
        <v>59</v>
      </c>
      <c r="J275" s="28">
        <f t="shared" si="20"/>
        <v>59</v>
      </c>
      <c r="K275" s="29">
        <f t="shared" si="18"/>
        <v>194</v>
      </c>
      <c r="L275" s="24">
        <v>30000</v>
      </c>
      <c r="M275" s="3">
        <v>42000</v>
      </c>
      <c r="N275" s="28">
        <v>100</v>
      </c>
      <c r="P275" s="25" t="s">
        <v>325</v>
      </c>
    </row>
    <row r="276" spans="1:16" s="28" customFormat="1" x14ac:dyDescent="0.25">
      <c r="A276" s="28" t="s">
        <v>27</v>
      </c>
      <c r="B276" s="25" t="s">
        <v>34</v>
      </c>
      <c r="C276" s="25">
        <v>3000</v>
      </c>
      <c r="D276" s="30">
        <v>60</v>
      </c>
      <c r="E276" s="28">
        <v>0.2</v>
      </c>
      <c r="F276" s="3">
        <v>50</v>
      </c>
      <c r="G276" s="28">
        <v>25</v>
      </c>
      <c r="H276" s="28">
        <v>150</v>
      </c>
      <c r="I276" s="28">
        <f t="shared" si="19"/>
        <v>60</v>
      </c>
      <c r="J276" s="28">
        <f t="shared" si="20"/>
        <v>60</v>
      </c>
      <c r="K276" s="29">
        <f t="shared" si="18"/>
        <v>195</v>
      </c>
      <c r="L276" s="24">
        <v>30000</v>
      </c>
      <c r="M276" s="3">
        <v>42000</v>
      </c>
      <c r="N276" s="28">
        <v>100</v>
      </c>
      <c r="P276" s="25" t="s">
        <v>326</v>
      </c>
    </row>
    <row r="277" spans="1:16" s="28" customFormat="1" x14ac:dyDescent="0.25">
      <c r="A277" s="28" t="s">
        <v>27</v>
      </c>
      <c r="B277" s="25" t="s">
        <v>34</v>
      </c>
      <c r="C277" s="25">
        <v>3000</v>
      </c>
      <c r="D277" s="28">
        <v>61</v>
      </c>
      <c r="E277" s="28">
        <v>0.2</v>
      </c>
      <c r="F277" s="3">
        <v>50</v>
      </c>
      <c r="G277" s="28">
        <v>25</v>
      </c>
      <c r="H277" s="28">
        <v>150</v>
      </c>
      <c r="I277" s="28">
        <f t="shared" si="19"/>
        <v>61</v>
      </c>
      <c r="J277" s="28">
        <f t="shared" si="20"/>
        <v>61</v>
      </c>
      <c r="K277" s="29">
        <f t="shared" si="18"/>
        <v>196</v>
      </c>
      <c r="L277" s="24">
        <v>30000</v>
      </c>
      <c r="M277" s="3">
        <v>42000</v>
      </c>
      <c r="N277" s="28">
        <v>100</v>
      </c>
      <c r="P277" s="25" t="s">
        <v>327</v>
      </c>
    </row>
    <row r="278" spans="1:16" s="28" customFormat="1" x14ac:dyDescent="0.25">
      <c r="A278" s="28" t="s">
        <v>27</v>
      </c>
      <c r="B278" s="25" t="s">
        <v>34</v>
      </c>
      <c r="C278" s="25">
        <v>3000</v>
      </c>
      <c r="D278" s="30">
        <v>62</v>
      </c>
      <c r="E278" s="28">
        <v>0.2</v>
      </c>
      <c r="F278" s="3">
        <v>50</v>
      </c>
      <c r="G278" s="28">
        <v>25</v>
      </c>
      <c r="H278" s="28">
        <v>150</v>
      </c>
      <c r="I278" s="28">
        <f t="shared" si="19"/>
        <v>62</v>
      </c>
      <c r="J278" s="28">
        <f t="shared" si="20"/>
        <v>62</v>
      </c>
      <c r="K278" s="29">
        <f t="shared" si="18"/>
        <v>197</v>
      </c>
      <c r="L278" s="24">
        <v>30000</v>
      </c>
      <c r="M278" s="3">
        <v>42000</v>
      </c>
      <c r="N278" s="28">
        <v>100</v>
      </c>
      <c r="P278" s="25" t="s">
        <v>328</v>
      </c>
    </row>
    <row r="279" spans="1:16" s="28" customFormat="1" x14ac:dyDescent="0.25">
      <c r="A279" s="28" t="s">
        <v>27</v>
      </c>
      <c r="B279" s="25" t="s">
        <v>34</v>
      </c>
      <c r="C279" s="25">
        <v>3000</v>
      </c>
      <c r="D279" s="30">
        <v>63</v>
      </c>
      <c r="E279" s="28">
        <v>0.2</v>
      </c>
      <c r="F279" s="3">
        <v>50</v>
      </c>
      <c r="G279" s="28">
        <v>25</v>
      </c>
      <c r="H279" s="28">
        <v>150</v>
      </c>
      <c r="I279" s="28">
        <f t="shared" si="19"/>
        <v>63</v>
      </c>
      <c r="J279" s="28">
        <f t="shared" si="20"/>
        <v>63</v>
      </c>
      <c r="K279" s="29">
        <f t="shared" si="18"/>
        <v>198</v>
      </c>
      <c r="L279" s="24">
        <v>30000</v>
      </c>
      <c r="M279" s="3">
        <v>42000</v>
      </c>
      <c r="N279" s="28">
        <v>100</v>
      </c>
      <c r="P279" s="25" t="s">
        <v>329</v>
      </c>
    </row>
    <row r="280" spans="1:16" s="28" customFormat="1" x14ac:dyDescent="0.25">
      <c r="A280" s="28" t="s">
        <v>27</v>
      </c>
      <c r="B280" s="25" t="s">
        <v>34</v>
      </c>
      <c r="C280" s="25">
        <v>3000</v>
      </c>
      <c r="D280" s="28">
        <v>64</v>
      </c>
      <c r="E280" s="28">
        <v>0.2</v>
      </c>
      <c r="F280" s="3">
        <v>50</v>
      </c>
      <c r="G280" s="28">
        <v>25</v>
      </c>
      <c r="H280" s="28">
        <v>150</v>
      </c>
      <c r="I280" s="28">
        <f t="shared" si="19"/>
        <v>64</v>
      </c>
      <c r="J280" s="28">
        <f t="shared" si="20"/>
        <v>64</v>
      </c>
      <c r="K280" s="29">
        <f t="shared" si="18"/>
        <v>199</v>
      </c>
      <c r="L280" s="24">
        <v>30000</v>
      </c>
      <c r="M280" s="3">
        <v>42000</v>
      </c>
      <c r="N280" s="28">
        <v>100</v>
      </c>
      <c r="P280" s="25" t="s">
        <v>330</v>
      </c>
    </row>
    <row r="281" spans="1:16" s="28" customFormat="1" x14ac:dyDescent="0.25">
      <c r="A281" s="28" t="s">
        <v>27</v>
      </c>
      <c r="B281" s="25" t="s">
        <v>34</v>
      </c>
      <c r="C281" s="25">
        <v>3000</v>
      </c>
      <c r="D281" s="30">
        <v>65</v>
      </c>
      <c r="E281" s="28">
        <v>0.2</v>
      </c>
      <c r="F281" s="3">
        <v>50</v>
      </c>
      <c r="G281" s="28">
        <v>25</v>
      </c>
      <c r="H281" s="28">
        <v>150</v>
      </c>
      <c r="I281" s="28">
        <f t="shared" si="19"/>
        <v>65</v>
      </c>
      <c r="J281" s="28">
        <f t="shared" si="20"/>
        <v>65</v>
      </c>
      <c r="K281" s="29">
        <f t="shared" si="18"/>
        <v>200</v>
      </c>
      <c r="L281" s="24">
        <v>30000</v>
      </c>
      <c r="M281" s="3">
        <v>42000</v>
      </c>
      <c r="N281" s="28">
        <v>100</v>
      </c>
      <c r="P281" s="25" t="s">
        <v>331</v>
      </c>
    </row>
    <row r="282" spans="1:16" s="28" customFormat="1" x14ac:dyDescent="0.25">
      <c r="A282" s="28" t="s">
        <v>27</v>
      </c>
      <c r="B282" s="25" t="s">
        <v>34</v>
      </c>
      <c r="C282" s="25">
        <v>3000</v>
      </c>
      <c r="D282" s="30">
        <v>66</v>
      </c>
      <c r="E282" s="28">
        <v>0.2</v>
      </c>
      <c r="F282" s="3">
        <v>50</v>
      </c>
      <c r="G282" s="28">
        <v>25</v>
      </c>
      <c r="H282" s="28">
        <v>150</v>
      </c>
      <c r="I282" s="28">
        <f t="shared" si="19"/>
        <v>66</v>
      </c>
      <c r="J282" s="28">
        <f t="shared" si="20"/>
        <v>66</v>
      </c>
      <c r="K282" s="29">
        <f t="shared" si="18"/>
        <v>201</v>
      </c>
      <c r="L282" s="24">
        <v>30000</v>
      </c>
      <c r="M282" s="3">
        <v>42000</v>
      </c>
      <c r="N282" s="28">
        <v>100</v>
      </c>
      <c r="P282" s="25" t="s">
        <v>332</v>
      </c>
    </row>
    <row r="283" spans="1:16" s="28" customFormat="1" x14ac:dyDescent="0.25">
      <c r="A283" s="28" t="s">
        <v>27</v>
      </c>
      <c r="B283" s="25" t="s">
        <v>34</v>
      </c>
      <c r="C283" s="25">
        <v>3000</v>
      </c>
      <c r="D283" s="28">
        <v>67</v>
      </c>
      <c r="E283" s="28">
        <v>0.2</v>
      </c>
      <c r="F283" s="3">
        <v>50</v>
      </c>
      <c r="G283" s="28">
        <v>25</v>
      </c>
      <c r="H283" s="28">
        <v>150</v>
      </c>
      <c r="I283" s="28">
        <f t="shared" si="19"/>
        <v>67</v>
      </c>
      <c r="J283" s="28">
        <f t="shared" si="20"/>
        <v>67</v>
      </c>
      <c r="K283" s="29">
        <f t="shared" si="18"/>
        <v>202</v>
      </c>
      <c r="L283" s="24">
        <v>30000</v>
      </c>
      <c r="M283" s="3">
        <v>42000</v>
      </c>
      <c r="N283" s="28">
        <v>100</v>
      </c>
      <c r="P283" s="25" t="s">
        <v>333</v>
      </c>
    </row>
    <row r="284" spans="1:16" s="28" customFormat="1" x14ac:dyDescent="0.25">
      <c r="A284" s="28" t="s">
        <v>27</v>
      </c>
      <c r="B284" s="25" t="s">
        <v>34</v>
      </c>
      <c r="C284" s="25">
        <v>3000</v>
      </c>
      <c r="D284" s="30">
        <v>68</v>
      </c>
      <c r="E284" s="28">
        <v>0.2</v>
      </c>
      <c r="F284" s="3">
        <v>50</v>
      </c>
      <c r="G284" s="28">
        <v>25</v>
      </c>
      <c r="H284" s="28">
        <v>150</v>
      </c>
      <c r="I284" s="28">
        <f t="shared" si="19"/>
        <v>68</v>
      </c>
      <c r="J284" s="28">
        <f t="shared" si="20"/>
        <v>68</v>
      </c>
      <c r="K284" s="29">
        <f t="shared" si="18"/>
        <v>203</v>
      </c>
      <c r="L284" s="24">
        <v>30000</v>
      </c>
      <c r="M284" s="3">
        <v>42000</v>
      </c>
      <c r="N284" s="28">
        <v>100</v>
      </c>
      <c r="P284" s="25" t="s">
        <v>334</v>
      </c>
    </row>
    <row r="285" spans="1:16" s="28" customFormat="1" x14ac:dyDescent="0.25">
      <c r="A285" s="28" t="s">
        <v>27</v>
      </c>
      <c r="B285" s="25" t="s">
        <v>34</v>
      </c>
      <c r="C285" s="25">
        <v>3000</v>
      </c>
      <c r="D285" s="30">
        <v>69</v>
      </c>
      <c r="E285" s="28">
        <v>0.2</v>
      </c>
      <c r="F285" s="3">
        <v>50</v>
      </c>
      <c r="G285" s="28">
        <v>25</v>
      </c>
      <c r="H285" s="28">
        <v>150</v>
      </c>
      <c r="I285" s="28">
        <f t="shared" si="19"/>
        <v>69</v>
      </c>
      <c r="J285" s="28">
        <f t="shared" si="20"/>
        <v>69</v>
      </c>
      <c r="K285" s="29">
        <f t="shared" si="18"/>
        <v>204</v>
      </c>
      <c r="L285" s="24">
        <v>30000</v>
      </c>
      <c r="M285" s="3">
        <v>42000</v>
      </c>
      <c r="N285" s="28">
        <v>100</v>
      </c>
      <c r="P285" s="25" t="s">
        <v>335</v>
      </c>
    </row>
    <row r="286" spans="1:16" s="28" customFormat="1" x14ac:dyDescent="0.25">
      <c r="A286" s="28" t="s">
        <v>27</v>
      </c>
      <c r="B286" s="25" t="s">
        <v>34</v>
      </c>
      <c r="C286" s="25">
        <v>3000</v>
      </c>
      <c r="D286" s="28">
        <v>70</v>
      </c>
      <c r="E286" s="28">
        <v>0.2</v>
      </c>
      <c r="F286" s="3">
        <v>50</v>
      </c>
      <c r="G286" s="28">
        <v>25</v>
      </c>
      <c r="H286" s="28">
        <v>150</v>
      </c>
      <c r="I286" s="28">
        <f t="shared" si="19"/>
        <v>70</v>
      </c>
      <c r="J286" s="28">
        <f t="shared" si="20"/>
        <v>70</v>
      </c>
      <c r="K286" s="29">
        <f t="shared" si="18"/>
        <v>205</v>
      </c>
      <c r="L286" s="24">
        <v>30000</v>
      </c>
      <c r="M286" s="3">
        <v>42000</v>
      </c>
      <c r="N286" s="28">
        <v>100</v>
      </c>
      <c r="P286" s="25" t="s">
        <v>336</v>
      </c>
    </row>
    <row r="287" spans="1:16" s="28" customFormat="1" x14ac:dyDescent="0.25">
      <c r="A287" s="28" t="s">
        <v>27</v>
      </c>
      <c r="B287" s="25" t="s">
        <v>34</v>
      </c>
      <c r="C287" s="25">
        <v>3000</v>
      </c>
      <c r="D287" s="30">
        <v>71</v>
      </c>
      <c r="E287" s="28">
        <v>0.2</v>
      </c>
      <c r="F287" s="3">
        <v>50</v>
      </c>
      <c r="G287" s="28">
        <v>25</v>
      </c>
      <c r="H287" s="28">
        <v>150</v>
      </c>
      <c r="I287" s="28">
        <f t="shared" si="19"/>
        <v>71</v>
      </c>
      <c r="J287" s="28">
        <f t="shared" si="20"/>
        <v>71</v>
      </c>
      <c r="K287" s="29">
        <f t="shared" si="18"/>
        <v>206</v>
      </c>
      <c r="L287" s="24">
        <v>30000</v>
      </c>
      <c r="M287" s="3">
        <v>42000</v>
      </c>
      <c r="N287" s="28">
        <v>100</v>
      </c>
      <c r="P287" s="25" t="s">
        <v>337</v>
      </c>
    </row>
    <row r="288" spans="1:16" s="28" customFormat="1" x14ac:dyDescent="0.25">
      <c r="A288" s="28" t="s">
        <v>27</v>
      </c>
      <c r="B288" s="25" t="s">
        <v>34</v>
      </c>
      <c r="C288" s="25">
        <v>3000</v>
      </c>
      <c r="D288" s="30">
        <v>72</v>
      </c>
      <c r="E288" s="28">
        <v>0.2</v>
      </c>
      <c r="F288" s="3">
        <v>50</v>
      </c>
      <c r="G288" s="28">
        <v>25</v>
      </c>
      <c r="H288" s="28">
        <v>150</v>
      </c>
      <c r="I288" s="28">
        <f t="shared" si="19"/>
        <v>72</v>
      </c>
      <c r="J288" s="28">
        <f t="shared" si="20"/>
        <v>72</v>
      </c>
      <c r="K288" s="29">
        <f t="shared" si="18"/>
        <v>207</v>
      </c>
      <c r="L288" s="24">
        <v>30000</v>
      </c>
      <c r="M288" s="3">
        <v>42000</v>
      </c>
      <c r="N288" s="28">
        <v>100</v>
      </c>
      <c r="P288" s="25" t="s">
        <v>338</v>
      </c>
    </row>
    <row r="289" spans="1:16" s="28" customFormat="1" x14ac:dyDescent="0.25">
      <c r="A289" s="28" t="s">
        <v>27</v>
      </c>
      <c r="B289" s="25" t="s">
        <v>34</v>
      </c>
      <c r="C289" s="25">
        <v>3000</v>
      </c>
      <c r="D289" s="28">
        <v>73</v>
      </c>
      <c r="E289" s="28">
        <v>0.2</v>
      </c>
      <c r="F289" s="3">
        <v>50</v>
      </c>
      <c r="G289" s="28">
        <v>25</v>
      </c>
      <c r="H289" s="28">
        <v>150</v>
      </c>
      <c r="I289" s="28">
        <f t="shared" si="19"/>
        <v>73</v>
      </c>
      <c r="J289" s="28">
        <f t="shared" si="20"/>
        <v>73</v>
      </c>
      <c r="K289" s="29">
        <f t="shared" si="18"/>
        <v>208</v>
      </c>
      <c r="L289" s="24">
        <v>30000</v>
      </c>
      <c r="M289" s="3">
        <v>42000</v>
      </c>
      <c r="N289" s="28">
        <v>100</v>
      </c>
      <c r="P289" s="25" t="s">
        <v>339</v>
      </c>
    </row>
    <row r="290" spans="1:16" s="28" customFormat="1" x14ac:dyDescent="0.25">
      <c r="A290" s="28" t="s">
        <v>27</v>
      </c>
      <c r="B290" s="25" t="s">
        <v>34</v>
      </c>
      <c r="C290" s="25">
        <v>3000</v>
      </c>
      <c r="D290" s="30">
        <v>74</v>
      </c>
      <c r="E290" s="28">
        <v>0.2</v>
      </c>
      <c r="F290" s="3">
        <v>50</v>
      </c>
      <c r="G290" s="28">
        <v>25</v>
      </c>
      <c r="H290" s="28">
        <v>150</v>
      </c>
      <c r="I290" s="28">
        <f t="shared" si="19"/>
        <v>74</v>
      </c>
      <c r="J290" s="28">
        <f t="shared" si="20"/>
        <v>74</v>
      </c>
      <c r="K290" s="29">
        <f t="shared" si="18"/>
        <v>209</v>
      </c>
      <c r="L290" s="24">
        <v>30000</v>
      </c>
      <c r="M290" s="3">
        <v>42000</v>
      </c>
      <c r="N290" s="28">
        <v>100</v>
      </c>
      <c r="P290" s="25" t="s">
        <v>340</v>
      </c>
    </row>
    <row r="291" spans="1:16" s="28" customFormat="1" x14ac:dyDescent="0.25">
      <c r="A291" s="28" t="s">
        <v>27</v>
      </c>
      <c r="B291" s="25" t="s">
        <v>34</v>
      </c>
      <c r="C291" s="25">
        <v>3000</v>
      </c>
      <c r="D291" s="30">
        <v>75</v>
      </c>
      <c r="E291" s="28">
        <v>0.2</v>
      </c>
      <c r="F291" s="3">
        <v>50</v>
      </c>
      <c r="G291" s="28">
        <v>25</v>
      </c>
      <c r="H291" s="28">
        <v>150</v>
      </c>
      <c r="I291" s="28">
        <f t="shared" si="19"/>
        <v>75</v>
      </c>
      <c r="J291" s="28">
        <f t="shared" si="20"/>
        <v>75</v>
      </c>
      <c r="K291" s="29">
        <f t="shared" ref="K291:K354" si="21">135+D291</f>
        <v>210</v>
      </c>
      <c r="L291" s="24">
        <v>30000</v>
      </c>
      <c r="M291" s="3">
        <v>42000</v>
      </c>
      <c r="N291" s="28">
        <v>100</v>
      </c>
      <c r="P291" s="25" t="s">
        <v>341</v>
      </c>
    </row>
    <row r="292" spans="1:16" s="28" customFormat="1" x14ac:dyDescent="0.25">
      <c r="A292" s="28" t="s">
        <v>27</v>
      </c>
      <c r="B292" s="25" t="s">
        <v>34</v>
      </c>
      <c r="C292" s="25">
        <v>3000</v>
      </c>
      <c r="D292" s="28">
        <v>76</v>
      </c>
      <c r="E292" s="28">
        <v>0.2</v>
      </c>
      <c r="F292" s="3">
        <v>50</v>
      </c>
      <c r="G292" s="28">
        <v>25</v>
      </c>
      <c r="H292" s="28">
        <v>150</v>
      </c>
      <c r="I292" s="28">
        <f t="shared" si="19"/>
        <v>76</v>
      </c>
      <c r="J292" s="28">
        <f t="shared" si="20"/>
        <v>76</v>
      </c>
      <c r="K292" s="29">
        <f t="shared" si="21"/>
        <v>211</v>
      </c>
      <c r="L292" s="24">
        <v>30000</v>
      </c>
      <c r="M292" s="3">
        <v>42000</v>
      </c>
      <c r="N292" s="28">
        <v>100</v>
      </c>
      <c r="P292" s="25" t="s">
        <v>342</v>
      </c>
    </row>
    <row r="293" spans="1:16" s="28" customFormat="1" x14ac:dyDescent="0.25">
      <c r="A293" s="28" t="s">
        <v>27</v>
      </c>
      <c r="B293" s="25" t="s">
        <v>34</v>
      </c>
      <c r="C293" s="25">
        <v>3000</v>
      </c>
      <c r="D293" s="30">
        <v>77</v>
      </c>
      <c r="E293" s="28">
        <v>0.2</v>
      </c>
      <c r="F293" s="3">
        <v>50</v>
      </c>
      <c r="G293" s="28">
        <v>25</v>
      </c>
      <c r="H293" s="28">
        <v>150</v>
      </c>
      <c r="I293" s="28">
        <f t="shared" si="19"/>
        <v>77</v>
      </c>
      <c r="J293" s="28">
        <f t="shared" si="20"/>
        <v>77</v>
      </c>
      <c r="K293" s="29">
        <f t="shared" si="21"/>
        <v>212</v>
      </c>
      <c r="L293" s="24">
        <v>30000</v>
      </c>
      <c r="M293" s="3">
        <v>42000</v>
      </c>
      <c r="N293" s="28">
        <v>100</v>
      </c>
      <c r="P293" s="25" t="s">
        <v>343</v>
      </c>
    </row>
    <row r="294" spans="1:16" s="28" customFormat="1" x14ac:dyDescent="0.25">
      <c r="A294" s="28" t="s">
        <v>27</v>
      </c>
      <c r="B294" s="25" t="s">
        <v>34</v>
      </c>
      <c r="C294" s="25">
        <v>3000</v>
      </c>
      <c r="D294" s="30">
        <v>78</v>
      </c>
      <c r="E294" s="28">
        <v>0.2</v>
      </c>
      <c r="F294" s="3">
        <v>50</v>
      </c>
      <c r="G294" s="28">
        <v>25</v>
      </c>
      <c r="H294" s="28">
        <v>150</v>
      </c>
      <c r="I294" s="28">
        <f t="shared" si="19"/>
        <v>78</v>
      </c>
      <c r="J294" s="28">
        <f t="shared" si="20"/>
        <v>78</v>
      </c>
      <c r="K294" s="29">
        <f t="shared" si="21"/>
        <v>213</v>
      </c>
      <c r="L294" s="24">
        <v>30000</v>
      </c>
      <c r="M294" s="3">
        <v>42000</v>
      </c>
      <c r="N294" s="28">
        <v>100</v>
      </c>
      <c r="P294" s="25" t="s">
        <v>344</v>
      </c>
    </row>
    <row r="295" spans="1:16" s="28" customFormat="1" x14ac:dyDescent="0.25">
      <c r="A295" s="28" t="s">
        <v>27</v>
      </c>
      <c r="B295" s="25" t="s">
        <v>34</v>
      </c>
      <c r="C295" s="25">
        <v>3000</v>
      </c>
      <c r="D295" s="28">
        <v>79</v>
      </c>
      <c r="E295" s="28">
        <v>0.2</v>
      </c>
      <c r="F295" s="3">
        <v>50</v>
      </c>
      <c r="G295" s="28">
        <v>25</v>
      </c>
      <c r="H295" s="28">
        <v>150</v>
      </c>
      <c r="I295" s="28">
        <f t="shared" si="19"/>
        <v>79</v>
      </c>
      <c r="J295" s="28">
        <f t="shared" si="20"/>
        <v>79</v>
      </c>
      <c r="K295" s="29">
        <f t="shared" si="21"/>
        <v>214</v>
      </c>
      <c r="L295" s="24">
        <v>30000</v>
      </c>
      <c r="M295" s="3">
        <v>42000</v>
      </c>
      <c r="N295" s="28">
        <v>100</v>
      </c>
      <c r="P295" s="25" t="s">
        <v>345</v>
      </c>
    </row>
    <row r="296" spans="1:16" s="28" customFormat="1" x14ac:dyDescent="0.25">
      <c r="A296" s="28" t="s">
        <v>27</v>
      </c>
      <c r="B296" s="25" t="s">
        <v>34</v>
      </c>
      <c r="C296" s="25">
        <v>3000</v>
      </c>
      <c r="D296" s="30">
        <v>80</v>
      </c>
      <c r="E296" s="28">
        <v>0.2</v>
      </c>
      <c r="F296" s="3">
        <v>50</v>
      </c>
      <c r="G296" s="28">
        <v>25</v>
      </c>
      <c r="H296" s="28">
        <v>150</v>
      </c>
      <c r="I296" s="28">
        <f t="shared" si="19"/>
        <v>80</v>
      </c>
      <c r="J296" s="28">
        <f t="shared" si="20"/>
        <v>80</v>
      </c>
      <c r="K296" s="29">
        <f t="shared" si="21"/>
        <v>215</v>
      </c>
      <c r="L296" s="24">
        <v>30000</v>
      </c>
      <c r="M296" s="3">
        <v>42000</v>
      </c>
      <c r="N296" s="28">
        <v>100</v>
      </c>
      <c r="P296" s="25" t="s">
        <v>346</v>
      </c>
    </row>
    <row r="297" spans="1:16" s="28" customFormat="1" x14ac:dyDescent="0.25">
      <c r="A297" s="28" t="s">
        <v>27</v>
      </c>
      <c r="B297" s="25" t="s">
        <v>34</v>
      </c>
      <c r="C297" s="25">
        <v>3000</v>
      </c>
      <c r="D297" s="30">
        <v>81</v>
      </c>
      <c r="E297" s="28">
        <v>0.2</v>
      </c>
      <c r="F297" s="3">
        <v>50</v>
      </c>
      <c r="G297" s="28">
        <v>25</v>
      </c>
      <c r="H297" s="28">
        <v>150</v>
      </c>
      <c r="I297" s="28">
        <f t="shared" si="19"/>
        <v>81</v>
      </c>
      <c r="J297" s="28">
        <f t="shared" si="20"/>
        <v>81</v>
      </c>
      <c r="K297" s="29">
        <f t="shared" si="21"/>
        <v>216</v>
      </c>
      <c r="L297" s="24">
        <v>30000</v>
      </c>
      <c r="M297" s="3">
        <v>42000</v>
      </c>
      <c r="N297" s="28">
        <v>100</v>
      </c>
      <c r="P297" s="25" t="s">
        <v>347</v>
      </c>
    </row>
    <row r="298" spans="1:16" s="28" customFormat="1" x14ac:dyDescent="0.25">
      <c r="A298" s="28" t="s">
        <v>27</v>
      </c>
      <c r="B298" s="25" t="s">
        <v>34</v>
      </c>
      <c r="C298" s="25">
        <v>3000</v>
      </c>
      <c r="D298" s="28">
        <v>82</v>
      </c>
      <c r="E298" s="28">
        <v>0.2</v>
      </c>
      <c r="F298" s="3">
        <v>50</v>
      </c>
      <c r="G298" s="28">
        <v>25</v>
      </c>
      <c r="H298" s="28">
        <v>150</v>
      </c>
      <c r="I298" s="28">
        <f t="shared" si="19"/>
        <v>82</v>
      </c>
      <c r="J298" s="28">
        <f t="shared" si="20"/>
        <v>82</v>
      </c>
      <c r="K298" s="29">
        <f t="shared" si="21"/>
        <v>217</v>
      </c>
      <c r="L298" s="24">
        <v>30000</v>
      </c>
      <c r="M298" s="3">
        <v>42000</v>
      </c>
      <c r="N298" s="28">
        <v>100</v>
      </c>
      <c r="P298" s="25" t="s">
        <v>348</v>
      </c>
    </row>
    <row r="299" spans="1:16" s="28" customFormat="1" x14ac:dyDescent="0.25">
      <c r="A299" s="28" t="s">
        <v>27</v>
      </c>
      <c r="B299" s="25" t="s">
        <v>34</v>
      </c>
      <c r="C299" s="25">
        <v>3000</v>
      </c>
      <c r="D299" s="30">
        <v>83</v>
      </c>
      <c r="E299" s="28">
        <v>0.2</v>
      </c>
      <c r="F299" s="3">
        <v>50</v>
      </c>
      <c r="G299" s="28">
        <v>25</v>
      </c>
      <c r="H299" s="28">
        <v>150</v>
      </c>
      <c r="I299" s="28">
        <f t="shared" si="19"/>
        <v>83</v>
      </c>
      <c r="J299" s="28">
        <f t="shared" si="20"/>
        <v>83</v>
      </c>
      <c r="K299" s="29">
        <f t="shared" si="21"/>
        <v>218</v>
      </c>
      <c r="L299" s="24">
        <v>30000</v>
      </c>
      <c r="M299" s="3">
        <v>42000</v>
      </c>
      <c r="N299" s="28">
        <v>100</v>
      </c>
      <c r="P299" s="25" t="s">
        <v>349</v>
      </c>
    </row>
    <row r="300" spans="1:16" s="28" customFormat="1" x14ac:dyDescent="0.25">
      <c r="A300" s="28" t="s">
        <v>27</v>
      </c>
      <c r="B300" s="25" t="s">
        <v>34</v>
      </c>
      <c r="C300" s="25">
        <v>3000</v>
      </c>
      <c r="D300" s="30">
        <v>84</v>
      </c>
      <c r="E300" s="28">
        <v>0.2</v>
      </c>
      <c r="F300" s="3">
        <v>50</v>
      </c>
      <c r="G300" s="28">
        <v>25</v>
      </c>
      <c r="H300" s="28">
        <v>150</v>
      </c>
      <c r="I300" s="28">
        <f t="shared" si="19"/>
        <v>84</v>
      </c>
      <c r="J300" s="28">
        <f t="shared" si="20"/>
        <v>84</v>
      </c>
      <c r="K300" s="29">
        <f t="shared" si="21"/>
        <v>219</v>
      </c>
      <c r="L300" s="24">
        <v>30000</v>
      </c>
      <c r="M300" s="3">
        <v>42000</v>
      </c>
      <c r="N300" s="28">
        <v>100</v>
      </c>
      <c r="P300" s="25" t="s">
        <v>350</v>
      </c>
    </row>
    <row r="301" spans="1:16" s="28" customFormat="1" x14ac:dyDescent="0.25">
      <c r="A301" s="28" t="s">
        <v>27</v>
      </c>
      <c r="B301" s="25" t="s">
        <v>34</v>
      </c>
      <c r="C301" s="25">
        <v>3000</v>
      </c>
      <c r="D301" s="28">
        <v>85</v>
      </c>
      <c r="E301" s="28">
        <v>0.2</v>
      </c>
      <c r="F301" s="3">
        <v>50</v>
      </c>
      <c r="G301" s="28">
        <v>25</v>
      </c>
      <c r="H301" s="28">
        <v>150</v>
      </c>
      <c r="I301" s="28">
        <f t="shared" si="19"/>
        <v>85</v>
      </c>
      <c r="J301" s="28">
        <f t="shared" si="20"/>
        <v>85</v>
      </c>
      <c r="K301" s="29">
        <f t="shared" si="21"/>
        <v>220</v>
      </c>
      <c r="L301" s="24">
        <v>30000</v>
      </c>
      <c r="M301" s="3">
        <v>42000</v>
      </c>
      <c r="N301" s="28">
        <v>100</v>
      </c>
      <c r="P301" s="25" t="s">
        <v>351</v>
      </c>
    </row>
    <row r="302" spans="1:16" s="28" customFormat="1" x14ac:dyDescent="0.25">
      <c r="A302" s="28" t="s">
        <v>27</v>
      </c>
      <c r="B302" s="25" t="s">
        <v>34</v>
      </c>
      <c r="C302" s="25">
        <v>3000</v>
      </c>
      <c r="D302" s="30">
        <v>86</v>
      </c>
      <c r="E302" s="28">
        <v>0.2</v>
      </c>
      <c r="F302" s="3">
        <v>50</v>
      </c>
      <c r="G302" s="28">
        <v>25</v>
      </c>
      <c r="H302" s="28">
        <v>150</v>
      </c>
      <c r="I302" s="28">
        <f t="shared" si="19"/>
        <v>86</v>
      </c>
      <c r="J302" s="28">
        <f t="shared" si="20"/>
        <v>86</v>
      </c>
      <c r="K302" s="29">
        <f t="shared" si="21"/>
        <v>221</v>
      </c>
      <c r="L302" s="24">
        <v>30000</v>
      </c>
      <c r="M302" s="3">
        <v>42000</v>
      </c>
      <c r="N302" s="28">
        <v>100</v>
      </c>
      <c r="P302" s="25" t="s">
        <v>352</v>
      </c>
    </row>
    <row r="303" spans="1:16" s="28" customFormat="1" x14ac:dyDescent="0.25">
      <c r="A303" s="28" t="s">
        <v>27</v>
      </c>
      <c r="B303" s="25" t="s">
        <v>34</v>
      </c>
      <c r="C303" s="25">
        <v>3000</v>
      </c>
      <c r="D303" s="30">
        <v>87</v>
      </c>
      <c r="E303" s="28">
        <v>0.2</v>
      </c>
      <c r="F303" s="3">
        <v>50</v>
      </c>
      <c r="G303" s="28">
        <v>25</v>
      </c>
      <c r="H303" s="28">
        <v>150</v>
      </c>
      <c r="I303" s="28">
        <f t="shared" si="19"/>
        <v>87</v>
      </c>
      <c r="J303" s="28">
        <f t="shared" si="20"/>
        <v>87</v>
      </c>
      <c r="K303" s="29">
        <f t="shared" si="21"/>
        <v>222</v>
      </c>
      <c r="L303" s="24">
        <v>30000</v>
      </c>
      <c r="M303" s="3">
        <v>42000</v>
      </c>
      <c r="N303" s="28">
        <v>100</v>
      </c>
      <c r="P303" s="25" t="s">
        <v>353</v>
      </c>
    </row>
    <row r="304" spans="1:16" s="28" customFormat="1" x14ac:dyDescent="0.25">
      <c r="A304" s="28" t="s">
        <v>27</v>
      </c>
      <c r="B304" s="25" t="s">
        <v>34</v>
      </c>
      <c r="C304" s="25">
        <v>3000</v>
      </c>
      <c r="D304" s="28">
        <v>88</v>
      </c>
      <c r="E304" s="28">
        <v>0.2</v>
      </c>
      <c r="F304" s="3">
        <v>50</v>
      </c>
      <c r="G304" s="28">
        <v>25</v>
      </c>
      <c r="H304" s="28">
        <v>150</v>
      </c>
      <c r="I304" s="28">
        <f t="shared" si="19"/>
        <v>88</v>
      </c>
      <c r="J304" s="28">
        <f t="shared" si="20"/>
        <v>88</v>
      </c>
      <c r="K304" s="29">
        <f t="shared" si="21"/>
        <v>223</v>
      </c>
      <c r="L304" s="24">
        <v>30000</v>
      </c>
      <c r="M304" s="3">
        <v>42000</v>
      </c>
      <c r="N304" s="28">
        <v>100</v>
      </c>
      <c r="P304" s="25" t="s">
        <v>354</v>
      </c>
    </row>
    <row r="305" spans="1:16" s="28" customFormat="1" x14ac:dyDescent="0.25">
      <c r="A305" s="28" t="s">
        <v>27</v>
      </c>
      <c r="B305" s="25" t="s">
        <v>34</v>
      </c>
      <c r="C305" s="25">
        <v>3000</v>
      </c>
      <c r="D305" s="30">
        <v>89</v>
      </c>
      <c r="E305" s="28">
        <v>0.2</v>
      </c>
      <c r="F305" s="3">
        <v>50</v>
      </c>
      <c r="G305" s="28">
        <v>25</v>
      </c>
      <c r="H305" s="28">
        <v>150</v>
      </c>
      <c r="I305" s="28">
        <f t="shared" si="19"/>
        <v>89</v>
      </c>
      <c r="J305" s="28">
        <f t="shared" si="20"/>
        <v>89</v>
      </c>
      <c r="K305" s="29">
        <f t="shared" si="21"/>
        <v>224</v>
      </c>
      <c r="L305" s="24">
        <v>30000</v>
      </c>
      <c r="M305" s="3">
        <v>42000</v>
      </c>
      <c r="N305" s="28">
        <v>100</v>
      </c>
      <c r="P305" s="25" t="s">
        <v>355</v>
      </c>
    </row>
    <row r="306" spans="1:16" s="28" customFormat="1" x14ac:dyDescent="0.25">
      <c r="A306" s="28" t="s">
        <v>27</v>
      </c>
      <c r="B306" s="25" t="s">
        <v>34</v>
      </c>
      <c r="C306" s="25">
        <v>3000</v>
      </c>
      <c r="D306" s="30">
        <v>90</v>
      </c>
      <c r="E306" s="28">
        <v>0.2</v>
      </c>
      <c r="F306" s="3">
        <v>50</v>
      </c>
      <c r="G306" s="28">
        <v>25</v>
      </c>
      <c r="H306" s="28">
        <v>150</v>
      </c>
      <c r="I306" s="28">
        <f t="shared" si="19"/>
        <v>90</v>
      </c>
      <c r="J306" s="28">
        <f t="shared" si="20"/>
        <v>90</v>
      </c>
      <c r="K306" s="29">
        <f t="shared" si="21"/>
        <v>225</v>
      </c>
      <c r="L306" s="24">
        <v>30000</v>
      </c>
      <c r="M306" s="3">
        <v>42000</v>
      </c>
      <c r="N306" s="28">
        <v>100</v>
      </c>
      <c r="P306" s="25" t="s">
        <v>356</v>
      </c>
    </row>
    <row r="307" spans="1:16" s="28" customFormat="1" x14ac:dyDescent="0.25">
      <c r="A307" s="28" t="s">
        <v>27</v>
      </c>
      <c r="B307" s="25" t="s">
        <v>34</v>
      </c>
      <c r="C307" s="25">
        <v>3000</v>
      </c>
      <c r="D307" s="28">
        <v>91</v>
      </c>
      <c r="E307" s="28">
        <v>0.2</v>
      </c>
      <c r="F307" s="3">
        <v>50</v>
      </c>
      <c r="G307" s="28">
        <v>25</v>
      </c>
      <c r="H307" s="28">
        <v>150</v>
      </c>
      <c r="I307" s="28">
        <f t="shared" si="19"/>
        <v>91</v>
      </c>
      <c r="J307" s="28">
        <f t="shared" si="20"/>
        <v>91</v>
      </c>
      <c r="K307" s="29">
        <f t="shared" si="21"/>
        <v>226</v>
      </c>
      <c r="L307" s="24">
        <v>30000</v>
      </c>
      <c r="M307" s="3">
        <v>42000</v>
      </c>
      <c r="N307" s="28">
        <v>100</v>
      </c>
      <c r="P307" s="25" t="s">
        <v>357</v>
      </c>
    </row>
    <row r="308" spans="1:16" s="28" customFormat="1" x14ac:dyDescent="0.25">
      <c r="A308" s="28" t="s">
        <v>27</v>
      </c>
      <c r="B308" s="25" t="s">
        <v>34</v>
      </c>
      <c r="C308" s="25">
        <v>3000</v>
      </c>
      <c r="D308" s="30">
        <v>92</v>
      </c>
      <c r="E308" s="28">
        <v>0.2</v>
      </c>
      <c r="F308" s="3">
        <v>50</v>
      </c>
      <c r="G308" s="28">
        <v>25</v>
      </c>
      <c r="H308" s="28">
        <v>150</v>
      </c>
      <c r="I308" s="28">
        <f t="shared" si="19"/>
        <v>92</v>
      </c>
      <c r="J308" s="28">
        <f t="shared" si="20"/>
        <v>92</v>
      </c>
      <c r="K308" s="29">
        <f t="shared" si="21"/>
        <v>227</v>
      </c>
      <c r="L308" s="24">
        <v>30000</v>
      </c>
      <c r="M308" s="3">
        <v>42000</v>
      </c>
      <c r="N308" s="28">
        <v>100</v>
      </c>
      <c r="P308" s="25" t="s">
        <v>358</v>
      </c>
    </row>
    <row r="309" spans="1:16" s="28" customFormat="1" x14ac:dyDescent="0.25">
      <c r="A309" s="28" t="s">
        <v>27</v>
      </c>
      <c r="B309" s="25" t="s">
        <v>34</v>
      </c>
      <c r="C309" s="25">
        <v>3000</v>
      </c>
      <c r="D309" s="30">
        <v>93</v>
      </c>
      <c r="E309" s="28">
        <v>0.2</v>
      </c>
      <c r="F309" s="3">
        <v>50</v>
      </c>
      <c r="G309" s="28">
        <v>25</v>
      </c>
      <c r="H309" s="28">
        <v>150</v>
      </c>
      <c r="I309" s="28">
        <f t="shared" si="19"/>
        <v>93</v>
      </c>
      <c r="J309" s="28">
        <f t="shared" si="20"/>
        <v>93</v>
      </c>
      <c r="K309" s="29">
        <f t="shared" si="21"/>
        <v>228</v>
      </c>
      <c r="L309" s="24">
        <v>30000</v>
      </c>
      <c r="M309" s="3">
        <v>42000</v>
      </c>
      <c r="N309" s="28">
        <v>100</v>
      </c>
      <c r="P309" s="25" t="s">
        <v>359</v>
      </c>
    </row>
    <row r="310" spans="1:16" s="28" customFormat="1" x14ac:dyDescent="0.25">
      <c r="A310" s="28" t="s">
        <v>27</v>
      </c>
      <c r="B310" s="25" t="s">
        <v>34</v>
      </c>
      <c r="C310" s="25">
        <v>3000</v>
      </c>
      <c r="D310" s="28">
        <v>94</v>
      </c>
      <c r="E310" s="28">
        <v>0.2</v>
      </c>
      <c r="F310" s="3">
        <v>50</v>
      </c>
      <c r="G310" s="28">
        <v>25</v>
      </c>
      <c r="H310" s="28">
        <v>150</v>
      </c>
      <c r="I310" s="28">
        <f t="shared" si="19"/>
        <v>94</v>
      </c>
      <c r="J310" s="28">
        <f t="shared" si="20"/>
        <v>94</v>
      </c>
      <c r="K310" s="29">
        <f t="shared" si="21"/>
        <v>229</v>
      </c>
      <c r="L310" s="24">
        <v>30000</v>
      </c>
      <c r="M310" s="3">
        <v>42000</v>
      </c>
      <c r="N310" s="28">
        <v>100</v>
      </c>
      <c r="P310" s="25" t="s">
        <v>360</v>
      </c>
    </row>
    <row r="311" spans="1:16" s="28" customFormat="1" x14ac:dyDescent="0.25">
      <c r="A311" s="28" t="s">
        <v>27</v>
      </c>
      <c r="B311" s="25" t="s">
        <v>34</v>
      </c>
      <c r="C311" s="25">
        <v>3000</v>
      </c>
      <c r="D311" s="30">
        <v>95</v>
      </c>
      <c r="E311" s="28">
        <v>0.2</v>
      </c>
      <c r="F311" s="3">
        <v>50</v>
      </c>
      <c r="G311" s="28">
        <v>25</v>
      </c>
      <c r="H311" s="28">
        <v>150</v>
      </c>
      <c r="I311" s="28">
        <f t="shared" si="19"/>
        <v>95</v>
      </c>
      <c r="J311" s="28">
        <f t="shared" si="20"/>
        <v>95</v>
      </c>
      <c r="K311" s="29">
        <f t="shared" si="21"/>
        <v>230</v>
      </c>
      <c r="L311" s="24">
        <v>30000</v>
      </c>
      <c r="M311" s="3">
        <v>42000</v>
      </c>
      <c r="N311" s="28">
        <v>100</v>
      </c>
      <c r="P311" s="25" t="s">
        <v>361</v>
      </c>
    </row>
    <row r="312" spans="1:16" s="28" customFormat="1" x14ac:dyDescent="0.25">
      <c r="A312" s="28" t="s">
        <v>27</v>
      </c>
      <c r="B312" s="25" t="s">
        <v>34</v>
      </c>
      <c r="C312" s="25">
        <v>3000</v>
      </c>
      <c r="D312" s="30">
        <v>96</v>
      </c>
      <c r="E312" s="28">
        <v>0.2</v>
      </c>
      <c r="F312" s="3">
        <v>50</v>
      </c>
      <c r="G312" s="28">
        <v>25</v>
      </c>
      <c r="H312" s="28">
        <v>150</v>
      </c>
      <c r="I312" s="28">
        <f t="shared" si="19"/>
        <v>96</v>
      </c>
      <c r="J312" s="28">
        <f t="shared" si="20"/>
        <v>96</v>
      </c>
      <c r="K312" s="29">
        <f t="shared" si="21"/>
        <v>231</v>
      </c>
      <c r="L312" s="24">
        <v>30000</v>
      </c>
      <c r="M312" s="3">
        <v>42000</v>
      </c>
      <c r="N312" s="28">
        <v>100</v>
      </c>
      <c r="P312" s="25" t="s">
        <v>362</v>
      </c>
    </row>
    <row r="313" spans="1:16" s="28" customFormat="1" x14ac:dyDescent="0.25">
      <c r="A313" s="28" t="s">
        <v>27</v>
      </c>
      <c r="B313" s="25" t="s">
        <v>34</v>
      </c>
      <c r="C313" s="25">
        <v>3000</v>
      </c>
      <c r="D313" s="28">
        <v>97</v>
      </c>
      <c r="E313" s="28">
        <v>0.2</v>
      </c>
      <c r="F313" s="3">
        <v>50</v>
      </c>
      <c r="G313" s="28">
        <v>25</v>
      </c>
      <c r="H313" s="28">
        <v>150</v>
      </c>
      <c r="I313" s="28">
        <f t="shared" si="19"/>
        <v>97</v>
      </c>
      <c r="J313" s="28">
        <f t="shared" si="20"/>
        <v>97</v>
      </c>
      <c r="K313" s="29">
        <f t="shared" si="21"/>
        <v>232</v>
      </c>
      <c r="L313" s="24">
        <v>30000</v>
      </c>
      <c r="M313" s="3">
        <v>42000</v>
      </c>
      <c r="N313" s="28">
        <v>100</v>
      </c>
      <c r="P313" s="25" t="s">
        <v>363</v>
      </c>
    </row>
    <row r="314" spans="1:16" s="28" customFormat="1" x14ac:dyDescent="0.25">
      <c r="A314" s="28" t="s">
        <v>27</v>
      </c>
      <c r="B314" s="25" t="s">
        <v>34</v>
      </c>
      <c r="C314" s="25">
        <v>3000</v>
      </c>
      <c r="D314" s="30">
        <v>98</v>
      </c>
      <c r="E314" s="28">
        <v>0.2</v>
      </c>
      <c r="F314" s="3">
        <v>50</v>
      </c>
      <c r="G314" s="28">
        <v>25</v>
      </c>
      <c r="H314" s="28">
        <v>150</v>
      </c>
      <c r="I314" s="28">
        <f t="shared" si="19"/>
        <v>98</v>
      </c>
      <c r="J314" s="28">
        <f t="shared" si="20"/>
        <v>98</v>
      </c>
      <c r="K314" s="29">
        <f t="shared" si="21"/>
        <v>233</v>
      </c>
      <c r="L314" s="24">
        <v>30000</v>
      </c>
      <c r="M314" s="3">
        <v>42000</v>
      </c>
      <c r="N314" s="28">
        <v>100</v>
      </c>
      <c r="P314" s="25" t="s">
        <v>364</v>
      </c>
    </row>
    <row r="315" spans="1:16" s="28" customFormat="1" x14ac:dyDescent="0.25">
      <c r="A315" s="28" t="s">
        <v>27</v>
      </c>
      <c r="B315" s="25" t="s">
        <v>34</v>
      </c>
      <c r="C315" s="25">
        <v>3000</v>
      </c>
      <c r="D315" s="30">
        <v>99</v>
      </c>
      <c r="E315" s="28">
        <v>0.2</v>
      </c>
      <c r="F315" s="3">
        <v>50</v>
      </c>
      <c r="G315" s="28">
        <v>25</v>
      </c>
      <c r="H315" s="28">
        <v>150</v>
      </c>
      <c r="I315" s="28">
        <f t="shared" si="19"/>
        <v>99</v>
      </c>
      <c r="J315" s="28">
        <f t="shared" si="20"/>
        <v>99</v>
      </c>
      <c r="K315" s="29">
        <f t="shared" si="21"/>
        <v>234</v>
      </c>
      <c r="L315" s="24">
        <v>30000</v>
      </c>
      <c r="M315" s="3">
        <v>42000</v>
      </c>
      <c r="N315" s="28">
        <v>100</v>
      </c>
      <c r="P315" s="25" t="s">
        <v>365</v>
      </c>
    </row>
    <row r="316" spans="1:16" s="28" customFormat="1" x14ac:dyDescent="0.25">
      <c r="A316" s="28" t="s">
        <v>27</v>
      </c>
      <c r="B316" s="25" t="s">
        <v>34</v>
      </c>
      <c r="C316" s="25">
        <v>3000</v>
      </c>
      <c r="D316" s="28">
        <v>100</v>
      </c>
      <c r="E316" s="28">
        <v>0.2</v>
      </c>
      <c r="F316" s="3">
        <v>50</v>
      </c>
      <c r="G316" s="28">
        <v>25</v>
      </c>
      <c r="H316" s="28">
        <v>150</v>
      </c>
      <c r="I316" s="28">
        <f t="shared" si="19"/>
        <v>100</v>
      </c>
      <c r="J316" s="28">
        <f t="shared" si="20"/>
        <v>100</v>
      </c>
      <c r="K316" s="29">
        <f t="shared" si="21"/>
        <v>235</v>
      </c>
      <c r="L316" s="24">
        <v>30000</v>
      </c>
      <c r="M316" s="3">
        <v>42000</v>
      </c>
      <c r="N316" s="28">
        <v>100</v>
      </c>
      <c r="P316" s="25" t="s">
        <v>366</v>
      </c>
    </row>
    <row r="317" spans="1:16" s="28" customFormat="1" x14ac:dyDescent="0.25">
      <c r="A317" s="28" t="s">
        <v>27</v>
      </c>
      <c r="B317" s="25" t="s">
        <v>34</v>
      </c>
      <c r="C317" s="25">
        <v>3000</v>
      </c>
      <c r="D317" s="30">
        <v>101</v>
      </c>
      <c r="E317" s="28">
        <v>0.2</v>
      </c>
      <c r="F317" s="3">
        <v>50</v>
      </c>
      <c r="G317" s="28">
        <v>25</v>
      </c>
      <c r="H317" s="28">
        <v>150</v>
      </c>
      <c r="I317" s="28">
        <f t="shared" si="19"/>
        <v>101</v>
      </c>
      <c r="J317" s="28">
        <f t="shared" si="20"/>
        <v>101</v>
      </c>
      <c r="K317" s="29">
        <f t="shared" si="21"/>
        <v>236</v>
      </c>
      <c r="L317" s="24">
        <v>30000</v>
      </c>
      <c r="M317" s="3">
        <v>42000</v>
      </c>
      <c r="N317" s="28">
        <v>100</v>
      </c>
      <c r="P317" s="25" t="s">
        <v>367</v>
      </c>
    </row>
    <row r="318" spans="1:16" s="28" customFormat="1" x14ac:dyDescent="0.25">
      <c r="A318" s="28" t="s">
        <v>27</v>
      </c>
      <c r="B318" s="25" t="s">
        <v>34</v>
      </c>
      <c r="C318" s="25">
        <v>3000</v>
      </c>
      <c r="D318" s="30">
        <v>102</v>
      </c>
      <c r="E318" s="28">
        <v>0.2</v>
      </c>
      <c r="F318" s="3">
        <v>50</v>
      </c>
      <c r="G318" s="28">
        <v>25</v>
      </c>
      <c r="H318" s="28">
        <v>150</v>
      </c>
      <c r="I318" s="28">
        <f t="shared" si="19"/>
        <v>102</v>
      </c>
      <c r="J318" s="28">
        <f t="shared" si="20"/>
        <v>102</v>
      </c>
      <c r="K318" s="29">
        <f t="shared" si="21"/>
        <v>237</v>
      </c>
      <c r="L318" s="24">
        <v>30000</v>
      </c>
      <c r="M318" s="3">
        <v>42000</v>
      </c>
      <c r="N318" s="28">
        <v>100</v>
      </c>
      <c r="P318" s="25" t="s">
        <v>368</v>
      </c>
    </row>
    <row r="319" spans="1:16" s="28" customFormat="1" x14ac:dyDescent="0.25">
      <c r="A319" s="28" t="s">
        <v>27</v>
      </c>
      <c r="B319" s="25" t="s">
        <v>34</v>
      </c>
      <c r="C319" s="25">
        <v>3000</v>
      </c>
      <c r="D319" s="28">
        <v>103</v>
      </c>
      <c r="E319" s="28">
        <v>0.2</v>
      </c>
      <c r="F319" s="3">
        <v>50</v>
      </c>
      <c r="G319" s="28">
        <v>25</v>
      </c>
      <c r="H319" s="28">
        <v>150</v>
      </c>
      <c r="I319" s="28">
        <f t="shared" si="19"/>
        <v>103</v>
      </c>
      <c r="J319" s="28">
        <f t="shared" si="20"/>
        <v>103</v>
      </c>
      <c r="K319" s="29">
        <f t="shared" si="21"/>
        <v>238</v>
      </c>
      <c r="L319" s="24">
        <v>30000</v>
      </c>
      <c r="M319" s="3">
        <v>42000</v>
      </c>
      <c r="N319" s="28">
        <v>100</v>
      </c>
      <c r="P319" s="25" t="s">
        <v>369</v>
      </c>
    </row>
    <row r="320" spans="1:16" s="28" customFormat="1" x14ac:dyDescent="0.25">
      <c r="A320" s="28" t="s">
        <v>27</v>
      </c>
      <c r="B320" s="25" t="s">
        <v>34</v>
      </c>
      <c r="C320" s="25">
        <v>3000</v>
      </c>
      <c r="D320" s="30">
        <v>104</v>
      </c>
      <c r="E320" s="28">
        <v>0.2</v>
      </c>
      <c r="F320" s="3">
        <v>50</v>
      </c>
      <c r="G320" s="28">
        <v>25</v>
      </c>
      <c r="H320" s="28">
        <v>150</v>
      </c>
      <c r="I320" s="28">
        <f t="shared" si="19"/>
        <v>104</v>
      </c>
      <c r="J320" s="28">
        <f t="shared" si="20"/>
        <v>104</v>
      </c>
      <c r="K320" s="29">
        <f t="shared" si="21"/>
        <v>239</v>
      </c>
      <c r="L320" s="24">
        <v>30000</v>
      </c>
      <c r="M320" s="3">
        <v>42000</v>
      </c>
      <c r="N320" s="28">
        <v>100</v>
      </c>
      <c r="P320" s="25" t="s">
        <v>370</v>
      </c>
    </row>
    <row r="321" spans="1:16" s="28" customFormat="1" x14ac:dyDescent="0.25">
      <c r="A321" s="28" t="s">
        <v>27</v>
      </c>
      <c r="B321" s="25" t="s">
        <v>34</v>
      </c>
      <c r="C321" s="25">
        <v>3000</v>
      </c>
      <c r="D321" s="30">
        <v>105</v>
      </c>
      <c r="E321" s="28">
        <v>0.2</v>
      </c>
      <c r="F321" s="3">
        <v>50</v>
      </c>
      <c r="G321" s="28">
        <v>25</v>
      </c>
      <c r="H321" s="28">
        <v>150</v>
      </c>
      <c r="I321" s="28">
        <f t="shared" si="19"/>
        <v>105</v>
      </c>
      <c r="J321" s="28">
        <f t="shared" si="20"/>
        <v>105</v>
      </c>
      <c r="K321" s="29">
        <f t="shared" si="21"/>
        <v>240</v>
      </c>
      <c r="L321" s="24">
        <v>30000</v>
      </c>
      <c r="M321" s="3">
        <v>42000</v>
      </c>
      <c r="N321" s="28">
        <v>100</v>
      </c>
      <c r="P321" s="25" t="s">
        <v>371</v>
      </c>
    </row>
    <row r="322" spans="1:16" s="28" customFormat="1" x14ac:dyDescent="0.25">
      <c r="A322" s="28" t="s">
        <v>27</v>
      </c>
      <c r="B322" s="25" t="s">
        <v>34</v>
      </c>
      <c r="C322" s="25">
        <v>3000</v>
      </c>
      <c r="D322" s="28">
        <v>106</v>
      </c>
      <c r="E322" s="28">
        <v>0.2</v>
      </c>
      <c r="F322" s="3">
        <v>50</v>
      </c>
      <c r="G322" s="28">
        <v>25</v>
      </c>
      <c r="H322" s="28">
        <v>150</v>
      </c>
      <c r="I322" s="28">
        <f t="shared" si="19"/>
        <v>106</v>
      </c>
      <c r="J322" s="28">
        <f t="shared" si="20"/>
        <v>106</v>
      </c>
      <c r="K322" s="29">
        <f t="shared" si="21"/>
        <v>241</v>
      </c>
      <c r="L322" s="24">
        <v>30000</v>
      </c>
      <c r="M322" s="3">
        <v>42000</v>
      </c>
      <c r="N322" s="28">
        <v>100</v>
      </c>
      <c r="P322" s="25" t="s">
        <v>372</v>
      </c>
    </row>
    <row r="323" spans="1:16" s="28" customFormat="1" x14ac:dyDescent="0.25">
      <c r="A323" s="28" t="s">
        <v>27</v>
      </c>
      <c r="B323" s="25" t="s">
        <v>34</v>
      </c>
      <c r="C323" s="25">
        <v>3000</v>
      </c>
      <c r="D323" s="30">
        <v>107</v>
      </c>
      <c r="E323" s="28">
        <v>0.2</v>
      </c>
      <c r="F323" s="3">
        <v>50</v>
      </c>
      <c r="G323" s="28">
        <v>25</v>
      </c>
      <c r="H323" s="28">
        <v>150</v>
      </c>
      <c r="I323" s="28">
        <f t="shared" si="19"/>
        <v>107</v>
      </c>
      <c r="J323" s="28">
        <f t="shared" si="20"/>
        <v>107</v>
      </c>
      <c r="K323" s="29">
        <f t="shared" si="21"/>
        <v>242</v>
      </c>
      <c r="L323" s="24">
        <v>30000</v>
      </c>
      <c r="M323" s="3">
        <v>42000</v>
      </c>
      <c r="N323" s="28">
        <v>100</v>
      </c>
      <c r="P323" s="25" t="s">
        <v>373</v>
      </c>
    </row>
    <row r="324" spans="1:16" s="28" customFormat="1" x14ac:dyDescent="0.25">
      <c r="A324" s="28" t="s">
        <v>27</v>
      </c>
      <c r="B324" s="25" t="s">
        <v>34</v>
      </c>
      <c r="C324" s="25">
        <v>3000</v>
      </c>
      <c r="D324" s="30">
        <v>108</v>
      </c>
      <c r="E324" s="28">
        <v>0.2</v>
      </c>
      <c r="F324" s="3">
        <v>50</v>
      </c>
      <c r="G324" s="28">
        <v>25</v>
      </c>
      <c r="H324" s="28">
        <v>150</v>
      </c>
      <c r="I324" s="28">
        <f t="shared" si="19"/>
        <v>108</v>
      </c>
      <c r="J324" s="28">
        <f t="shared" si="20"/>
        <v>108</v>
      </c>
      <c r="K324" s="29">
        <f t="shared" si="21"/>
        <v>243</v>
      </c>
      <c r="L324" s="24">
        <v>30000</v>
      </c>
      <c r="M324" s="3">
        <v>42000</v>
      </c>
      <c r="N324" s="28">
        <v>100</v>
      </c>
      <c r="P324" s="25" t="s">
        <v>374</v>
      </c>
    </row>
    <row r="325" spans="1:16" s="28" customFormat="1" x14ac:dyDescent="0.25">
      <c r="A325" s="28" t="s">
        <v>27</v>
      </c>
      <c r="B325" s="25" t="s">
        <v>34</v>
      </c>
      <c r="C325" s="25">
        <v>3000</v>
      </c>
      <c r="D325" s="28">
        <v>109</v>
      </c>
      <c r="E325" s="28">
        <v>0.2</v>
      </c>
      <c r="F325" s="3">
        <v>50</v>
      </c>
      <c r="G325" s="28">
        <v>25</v>
      </c>
      <c r="H325" s="28">
        <v>150</v>
      </c>
      <c r="I325" s="28">
        <f t="shared" si="19"/>
        <v>109</v>
      </c>
      <c r="J325" s="28">
        <f t="shared" si="20"/>
        <v>109</v>
      </c>
      <c r="K325" s="29">
        <f t="shared" si="21"/>
        <v>244</v>
      </c>
      <c r="L325" s="24">
        <v>30000</v>
      </c>
      <c r="M325" s="3">
        <v>42000</v>
      </c>
      <c r="N325" s="28">
        <v>100</v>
      </c>
      <c r="P325" s="25" t="s">
        <v>375</v>
      </c>
    </row>
    <row r="326" spans="1:16" s="28" customFormat="1" x14ac:dyDescent="0.25">
      <c r="A326" s="28" t="s">
        <v>27</v>
      </c>
      <c r="B326" s="25" t="s">
        <v>34</v>
      </c>
      <c r="C326" s="25">
        <v>3000</v>
      </c>
      <c r="D326" s="30">
        <v>110</v>
      </c>
      <c r="E326" s="28">
        <v>0.2</v>
      </c>
      <c r="F326" s="3">
        <v>50</v>
      </c>
      <c r="G326" s="28">
        <v>25</v>
      </c>
      <c r="H326" s="28">
        <v>150</v>
      </c>
      <c r="I326" s="28">
        <f t="shared" si="19"/>
        <v>110</v>
      </c>
      <c r="J326" s="28">
        <f t="shared" si="20"/>
        <v>110</v>
      </c>
      <c r="K326" s="29">
        <f t="shared" si="21"/>
        <v>245</v>
      </c>
      <c r="L326" s="24">
        <v>30000</v>
      </c>
      <c r="M326" s="3">
        <v>42000</v>
      </c>
      <c r="N326" s="28">
        <v>100</v>
      </c>
      <c r="P326" s="25" t="s">
        <v>376</v>
      </c>
    </row>
    <row r="327" spans="1:16" s="28" customFormat="1" x14ac:dyDescent="0.25">
      <c r="A327" s="28" t="s">
        <v>27</v>
      </c>
      <c r="B327" s="25" t="s">
        <v>34</v>
      </c>
      <c r="C327" s="25">
        <v>3000</v>
      </c>
      <c r="D327" s="30">
        <v>111</v>
      </c>
      <c r="E327" s="28">
        <v>0.2</v>
      </c>
      <c r="F327" s="3">
        <v>50</v>
      </c>
      <c r="G327" s="28">
        <v>25</v>
      </c>
      <c r="H327" s="28">
        <v>150</v>
      </c>
      <c r="I327" s="28">
        <f t="shared" si="19"/>
        <v>111</v>
      </c>
      <c r="J327" s="28">
        <f t="shared" si="20"/>
        <v>111</v>
      </c>
      <c r="K327" s="29">
        <f t="shared" si="21"/>
        <v>246</v>
      </c>
      <c r="L327" s="24">
        <v>30000</v>
      </c>
      <c r="M327" s="3">
        <v>42000</v>
      </c>
      <c r="N327" s="28">
        <v>100</v>
      </c>
      <c r="P327" s="25" t="s">
        <v>377</v>
      </c>
    </row>
    <row r="328" spans="1:16" s="28" customFormat="1" x14ac:dyDescent="0.25">
      <c r="A328" s="28" t="s">
        <v>27</v>
      </c>
      <c r="B328" s="25" t="s">
        <v>34</v>
      </c>
      <c r="C328" s="25">
        <v>3000</v>
      </c>
      <c r="D328" s="28">
        <v>112</v>
      </c>
      <c r="E328" s="28">
        <v>0.2</v>
      </c>
      <c r="F328" s="3">
        <v>50</v>
      </c>
      <c r="G328" s="28">
        <v>25</v>
      </c>
      <c r="H328" s="28">
        <v>150</v>
      </c>
      <c r="I328" s="28">
        <f t="shared" si="19"/>
        <v>112</v>
      </c>
      <c r="J328" s="28">
        <f t="shared" si="20"/>
        <v>112</v>
      </c>
      <c r="K328" s="29">
        <f t="shared" si="21"/>
        <v>247</v>
      </c>
      <c r="L328" s="24">
        <v>30000</v>
      </c>
      <c r="M328" s="3">
        <v>42000</v>
      </c>
      <c r="N328" s="28">
        <v>100</v>
      </c>
      <c r="P328" s="25" t="s">
        <v>378</v>
      </c>
    </row>
    <row r="329" spans="1:16" s="28" customFormat="1" x14ac:dyDescent="0.25">
      <c r="A329" s="28" t="s">
        <v>27</v>
      </c>
      <c r="B329" s="25" t="s">
        <v>34</v>
      </c>
      <c r="C329" s="25">
        <v>3000</v>
      </c>
      <c r="D329" s="30">
        <v>113</v>
      </c>
      <c r="E329" s="28">
        <v>0.2</v>
      </c>
      <c r="F329" s="3">
        <v>50</v>
      </c>
      <c r="G329" s="28">
        <v>25</v>
      </c>
      <c r="H329" s="28">
        <v>150</v>
      </c>
      <c r="I329" s="28">
        <f t="shared" si="19"/>
        <v>113</v>
      </c>
      <c r="J329" s="28">
        <f t="shared" si="20"/>
        <v>113</v>
      </c>
      <c r="K329" s="29">
        <f t="shared" si="21"/>
        <v>248</v>
      </c>
      <c r="L329" s="24">
        <v>30000</v>
      </c>
      <c r="M329" s="3">
        <v>42000</v>
      </c>
      <c r="N329" s="28">
        <v>100</v>
      </c>
      <c r="P329" s="25" t="s">
        <v>379</v>
      </c>
    </row>
    <row r="330" spans="1:16" s="28" customFormat="1" x14ac:dyDescent="0.25">
      <c r="A330" s="28" t="s">
        <v>27</v>
      </c>
      <c r="B330" s="25" t="s">
        <v>34</v>
      </c>
      <c r="C330" s="25">
        <v>3000</v>
      </c>
      <c r="D330" s="30">
        <v>114</v>
      </c>
      <c r="E330" s="28">
        <v>0.2</v>
      </c>
      <c r="F330" s="3">
        <v>50</v>
      </c>
      <c r="G330" s="28">
        <v>25</v>
      </c>
      <c r="H330" s="28">
        <v>150</v>
      </c>
      <c r="I330" s="28">
        <f t="shared" si="19"/>
        <v>114</v>
      </c>
      <c r="J330" s="28">
        <f t="shared" si="20"/>
        <v>114</v>
      </c>
      <c r="K330" s="29">
        <f t="shared" si="21"/>
        <v>249</v>
      </c>
      <c r="L330" s="24">
        <v>30000</v>
      </c>
      <c r="M330" s="3">
        <v>42000</v>
      </c>
      <c r="N330" s="28">
        <v>100</v>
      </c>
      <c r="P330" s="25" t="s">
        <v>380</v>
      </c>
    </row>
    <row r="331" spans="1:16" s="28" customFormat="1" x14ac:dyDescent="0.25">
      <c r="A331" s="28" t="s">
        <v>27</v>
      </c>
      <c r="B331" s="25" t="s">
        <v>34</v>
      </c>
      <c r="C331" s="25">
        <v>3000</v>
      </c>
      <c r="D331" s="28">
        <v>115</v>
      </c>
      <c r="E331" s="28">
        <v>0.2</v>
      </c>
      <c r="F331" s="3">
        <v>50</v>
      </c>
      <c r="G331" s="28">
        <v>25</v>
      </c>
      <c r="H331" s="28">
        <v>150</v>
      </c>
      <c r="I331" s="28">
        <f t="shared" si="19"/>
        <v>115</v>
      </c>
      <c r="J331" s="28">
        <f t="shared" si="20"/>
        <v>115</v>
      </c>
      <c r="K331" s="29">
        <f t="shared" si="21"/>
        <v>250</v>
      </c>
      <c r="L331" s="24">
        <v>30000</v>
      </c>
      <c r="M331" s="3">
        <v>42000</v>
      </c>
      <c r="N331" s="28">
        <v>100</v>
      </c>
      <c r="P331" s="25" t="s">
        <v>381</v>
      </c>
    </row>
    <row r="332" spans="1:16" s="28" customFormat="1" x14ac:dyDescent="0.25">
      <c r="A332" s="28" t="s">
        <v>27</v>
      </c>
      <c r="B332" s="25" t="s">
        <v>34</v>
      </c>
      <c r="C332" s="25">
        <v>3000</v>
      </c>
      <c r="D332" s="30">
        <v>116</v>
      </c>
      <c r="E332" s="28">
        <v>0.2</v>
      </c>
      <c r="F332" s="3">
        <v>50</v>
      </c>
      <c r="G332" s="28">
        <v>25</v>
      </c>
      <c r="H332" s="28">
        <v>150</v>
      </c>
      <c r="I332" s="28">
        <f t="shared" ref="I332:I399" si="22">D332</f>
        <v>116</v>
      </c>
      <c r="J332" s="28">
        <f t="shared" ref="J332:J399" si="23">D332</f>
        <v>116</v>
      </c>
      <c r="K332" s="29">
        <f t="shared" si="21"/>
        <v>251</v>
      </c>
      <c r="L332" s="24">
        <v>30000</v>
      </c>
      <c r="M332" s="3">
        <v>42000</v>
      </c>
      <c r="N332" s="28">
        <v>100</v>
      </c>
      <c r="P332" s="25" t="s">
        <v>382</v>
      </c>
    </row>
    <row r="333" spans="1:16" s="28" customFormat="1" x14ac:dyDescent="0.25">
      <c r="A333" s="28" t="s">
        <v>27</v>
      </c>
      <c r="B333" s="25" t="s">
        <v>34</v>
      </c>
      <c r="C333" s="25">
        <v>3000</v>
      </c>
      <c r="D333" s="30">
        <v>117</v>
      </c>
      <c r="E333" s="28">
        <v>0.2</v>
      </c>
      <c r="F333" s="3">
        <v>50</v>
      </c>
      <c r="G333" s="28">
        <v>25</v>
      </c>
      <c r="H333" s="28">
        <v>150</v>
      </c>
      <c r="I333" s="28">
        <f t="shared" si="22"/>
        <v>117</v>
      </c>
      <c r="J333" s="28">
        <f t="shared" si="23"/>
        <v>117</v>
      </c>
      <c r="K333" s="29">
        <f t="shared" si="21"/>
        <v>252</v>
      </c>
      <c r="L333" s="24">
        <v>30000</v>
      </c>
      <c r="M333" s="3">
        <v>42000</v>
      </c>
      <c r="N333" s="28">
        <v>100</v>
      </c>
      <c r="P333" s="25" t="s">
        <v>383</v>
      </c>
    </row>
    <row r="334" spans="1:16" s="28" customFormat="1" x14ac:dyDescent="0.25">
      <c r="A334" s="28" t="s">
        <v>27</v>
      </c>
      <c r="B334" s="25" t="s">
        <v>34</v>
      </c>
      <c r="C334" s="25">
        <v>3000</v>
      </c>
      <c r="D334" s="28">
        <v>118</v>
      </c>
      <c r="E334" s="28">
        <v>0.2</v>
      </c>
      <c r="F334" s="3">
        <v>50</v>
      </c>
      <c r="G334" s="28">
        <v>25</v>
      </c>
      <c r="H334" s="28">
        <v>150</v>
      </c>
      <c r="I334" s="28">
        <f t="shared" si="22"/>
        <v>118</v>
      </c>
      <c r="J334" s="28">
        <f t="shared" si="23"/>
        <v>118</v>
      </c>
      <c r="K334" s="29">
        <f t="shared" si="21"/>
        <v>253</v>
      </c>
      <c r="L334" s="24">
        <v>30000</v>
      </c>
      <c r="M334" s="3">
        <v>42000</v>
      </c>
      <c r="N334" s="28">
        <v>100</v>
      </c>
      <c r="P334" s="25" t="s">
        <v>384</v>
      </c>
    </row>
    <row r="335" spans="1:16" s="28" customFormat="1" x14ac:dyDescent="0.25">
      <c r="A335" s="28" t="s">
        <v>27</v>
      </c>
      <c r="B335" s="25" t="s">
        <v>34</v>
      </c>
      <c r="C335" s="25">
        <v>3000</v>
      </c>
      <c r="D335" s="30">
        <v>119</v>
      </c>
      <c r="E335" s="28">
        <v>0.2</v>
      </c>
      <c r="F335" s="3">
        <v>50</v>
      </c>
      <c r="G335" s="28">
        <v>25</v>
      </c>
      <c r="H335" s="28">
        <v>150</v>
      </c>
      <c r="I335" s="28">
        <f t="shared" si="22"/>
        <v>119</v>
      </c>
      <c r="J335" s="28">
        <f t="shared" si="23"/>
        <v>119</v>
      </c>
      <c r="K335" s="29">
        <f t="shared" si="21"/>
        <v>254</v>
      </c>
      <c r="L335" s="24">
        <v>30000</v>
      </c>
      <c r="M335" s="3">
        <v>42000</v>
      </c>
      <c r="N335" s="28">
        <v>100</v>
      </c>
      <c r="P335" s="25" t="s">
        <v>385</v>
      </c>
    </row>
    <row r="336" spans="1:16" s="28" customFormat="1" x14ac:dyDescent="0.25">
      <c r="A336" s="28" t="s">
        <v>27</v>
      </c>
      <c r="B336" s="25" t="s">
        <v>34</v>
      </c>
      <c r="C336" s="25">
        <v>3000</v>
      </c>
      <c r="D336" s="30">
        <v>120</v>
      </c>
      <c r="E336" s="28">
        <v>0.2</v>
      </c>
      <c r="F336" s="3">
        <v>50</v>
      </c>
      <c r="G336" s="28">
        <v>25</v>
      </c>
      <c r="H336" s="28">
        <v>150</v>
      </c>
      <c r="I336" s="28">
        <f t="shared" si="22"/>
        <v>120</v>
      </c>
      <c r="J336" s="28">
        <f t="shared" si="23"/>
        <v>120</v>
      </c>
      <c r="K336" s="29">
        <f t="shared" si="21"/>
        <v>255</v>
      </c>
      <c r="L336" s="24">
        <v>30000</v>
      </c>
      <c r="M336" s="3">
        <v>42000</v>
      </c>
      <c r="N336" s="28">
        <v>100</v>
      </c>
      <c r="P336" s="25" t="s">
        <v>386</v>
      </c>
    </row>
    <row r="337" spans="1:16" s="28" customFormat="1" x14ac:dyDescent="0.25">
      <c r="A337" s="28" t="s">
        <v>27</v>
      </c>
      <c r="B337" s="25" t="s">
        <v>34</v>
      </c>
      <c r="C337" s="25">
        <v>3000</v>
      </c>
      <c r="D337" s="28">
        <v>121</v>
      </c>
      <c r="E337" s="28">
        <v>0.2</v>
      </c>
      <c r="F337" s="3">
        <v>50</v>
      </c>
      <c r="G337" s="28">
        <v>25</v>
      </c>
      <c r="H337" s="28">
        <v>150</v>
      </c>
      <c r="I337" s="28">
        <f t="shared" si="22"/>
        <v>121</v>
      </c>
      <c r="J337" s="28">
        <f t="shared" si="23"/>
        <v>121</v>
      </c>
      <c r="K337" s="29">
        <f t="shared" si="21"/>
        <v>256</v>
      </c>
      <c r="L337" s="24">
        <v>30000</v>
      </c>
      <c r="M337" s="3">
        <v>42000</v>
      </c>
      <c r="N337" s="28">
        <v>100</v>
      </c>
      <c r="P337" s="25" t="s">
        <v>387</v>
      </c>
    </row>
    <row r="338" spans="1:16" s="28" customFormat="1" x14ac:dyDescent="0.25">
      <c r="A338" s="28" t="s">
        <v>27</v>
      </c>
      <c r="B338" s="25" t="s">
        <v>34</v>
      </c>
      <c r="C338" s="25">
        <v>3000</v>
      </c>
      <c r="D338" s="30">
        <v>122</v>
      </c>
      <c r="E338" s="28">
        <v>0.2</v>
      </c>
      <c r="F338" s="3">
        <v>50</v>
      </c>
      <c r="G338" s="28">
        <v>25</v>
      </c>
      <c r="H338" s="28">
        <v>150</v>
      </c>
      <c r="I338" s="28">
        <f t="shared" si="22"/>
        <v>122</v>
      </c>
      <c r="J338" s="28">
        <f t="shared" si="23"/>
        <v>122</v>
      </c>
      <c r="K338" s="29">
        <f t="shared" si="21"/>
        <v>257</v>
      </c>
      <c r="L338" s="24">
        <v>30000</v>
      </c>
      <c r="M338" s="3">
        <v>42000</v>
      </c>
      <c r="N338" s="28">
        <v>100</v>
      </c>
      <c r="P338" s="25" t="s">
        <v>388</v>
      </c>
    </row>
    <row r="339" spans="1:16" s="28" customFormat="1" x14ac:dyDescent="0.25">
      <c r="A339" s="28" t="s">
        <v>27</v>
      </c>
      <c r="B339" s="25" t="s">
        <v>34</v>
      </c>
      <c r="C339" s="25">
        <v>3000</v>
      </c>
      <c r="D339" s="30">
        <v>123</v>
      </c>
      <c r="E339" s="28">
        <v>0.2</v>
      </c>
      <c r="F339" s="3">
        <v>50</v>
      </c>
      <c r="G339" s="28">
        <v>25</v>
      </c>
      <c r="H339" s="28">
        <v>150</v>
      </c>
      <c r="I339" s="28">
        <f t="shared" si="22"/>
        <v>123</v>
      </c>
      <c r="J339" s="28">
        <f t="shared" si="23"/>
        <v>123</v>
      </c>
      <c r="K339" s="29">
        <f t="shared" si="21"/>
        <v>258</v>
      </c>
      <c r="L339" s="24">
        <v>30000</v>
      </c>
      <c r="M339" s="3">
        <v>42000</v>
      </c>
      <c r="N339" s="28">
        <v>100</v>
      </c>
      <c r="P339" s="25" t="s">
        <v>389</v>
      </c>
    </row>
    <row r="340" spans="1:16" s="28" customFormat="1" x14ac:dyDescent="0.25">
      <c r="A340" s="28" t="s">
        <v>27</v>
      </c>
      <c r="B340" s="25" t="s">
        <v>34</v>
      </c>
      <c r="C340" s="25">
        <v>3000</v>
      </c>
      <c r="D340" s="28">
        <v>124</v>
      </c>
      <c r="E340" s="28">
        <v>0.2</v>
      </c>
      <c r="F340" s="3">
        <v>50</v>
      </c>
      <c r="G340" s="28">
        <v>25</v>
      </c>
      <c r="H340" s="28">
        <v>150</v>
      </c>
      <c r="I340" s="28">
        <f t="shared" si="22"/>
        <v>124</v>
      </c>
      <c r="J340" s="28">
        <f t="shared" si="23"/>
        <v>124</v>
      </c>
      <c r="K340" s="29">
        <f t="shared" si="21"/>
        <v>259</v>
      </c>
      <c r="L340" s="24">
        <v>30000</v>
      </c>
      <c r="M340" s="3">
        <v>42000</v>
      </c>
      <c r="N340" s="28">
        <v>100</v>
      </c>
      <c r="P340" s="25" t="s">
        <v>390</v>
      </c>
    </row>
    <row r="341" spans="1:16" s="28" customFormat="1" x14ac:dyDescent="0.25">
      <c r="A341" s="28" t="s">
        <v>27</v>
      </c>
      <c r="B341" s="25" t="s">
        <v>34</v>
      </c>
      <c r="C341" s="25">
        <v>3000</v>
      </c>
      <c r="D341" s="30">
        <v>125</v>
      </c>
      <c r="E341" s="28">
        <v>0.2</v>
      </c>
      <c r="F341" s="3">
        <v>50</v>
      </c>
      <c r="G341" s="28">
        <v>25</v>
      </c>
      <c r="H341" s="28">
        <v>150</v>
      </c>
      <c r="I341" s="28">
        <f t="shared" si="22"/>
        <v>125</v>
      </c>
      <c r="J341" s="28">
        <f t="shared" si="23"/>
        <v>125</v>
      </c>
      <c r="K341" s="29">
        <f t="shared" si="21"/>
        <v>260</v>
      </c>
      <c r="L341" s="24">
        <v>30000</v>
      </c>
      <c r="M341" s="3">
        <v>42000</v>
      </c>
      <c r="N341" s="28">
        <v>100</v>
      </c>
      <c r="P341" s="25" t="s">
        <v>391</v>
      </c>
    </row>
    <row r="342" spans="1:16" s="28" customFormat="1" x14ac:dyDescent="0.25">
      <c r="A342" s="28" t="s">
        <v>27</v>
      </c>
      <c r="B342" s="25" t="s">
        <v>34</v>
      </c>
      <c r="C342" s="25">
        <v>3000</v>
      </c>
      <c r="D342" s="30">
        <v>126</v>
      </c>
      <c r="E342" s="28">
        <v>0.2</v>
      </c>
      <c r="F342" s="3">
        <v>50</v>
      </c>
      <c r="G342" s="28">
        <v>25</v>
      </c>
      <c r="H342" s="28">
        <v>150</v>
      </c>
      <c r="I342" s="28">
        <f t="shared" si="22"/>
        <v>126</v>
      </c>
      <c r="J342" s="28">
        <f t="shared" si="23"/>
        <v>126</v>
      </c>
      <c r="K342" s="29">
        <f t="shared" si="21"/>
        <v>261</v>
      </c>
      <c r="L342" s="24">
        <v>30000</v>
      </c>
      <c r="M342" s="3">
        <v>42000</v>
      </c>
      <c r="N342" s="28">
        <v>100</v>
      </c>
      <c r="P342" s="25" t="s">
        <v>392</v>
      </c>
    </row>
    <row r="343" spans="1:16" s="28" customFormat="1" x14ac:dyDescent="0.25">
      <c r="A343" s="28" t="s">
        <v>27</v>
      </c>
      <c r="B343" s="25" t="s">
        <v>34</v>
      </c>
      <c r="C343" s="25">
        <v>3000</v>
      </c>
      <c r="D343" s="28">
        <v>127</v>
      </c>
      <c r="E343" s="28">
        <v>0.2</v>
      </c>
      <c r="F343" s="3">
        <v>50</v>
      </c>
      <c r="G343" s="28">
        <v>25</v>
      </c>
      <c r="H343" s="28">
        <v>150</v>
      </c>
      <c r="I343" s="28">
        <f t="shared" si="22"/>
        <v>127</v>
      </c>
      <c r="J343" s="28">
        <f t="shared" si="23"/>
        <v>127</v>
      </c>
      <c r="K343" s="29">
        <f t="shared" si="21"/>
        <v>262</v>
      </c>
      <c r="L343" s="24">
        <v>30000</v>
      </c>
      <c r="M343" s="3">
        <v>42000</v>
      </c>
      <c r="N343" s="28">
        <v>100</v>
      </c>
      <c r="P343" s="25" t="s">
        <v>393</v>
      </c>
    </row>
    <row r="344" spans="1:16" s="28" customFormat="1" x14ac:dyDescent="0.25">
      <c r="A344" s="28" t="s">
        <v>27</v>
      </c>
      <c r="B344" s="25" t="s">
        <v>34</v>
      </c>
      <c r="C344" s="25">
        <v>3000</v>
      </c>
      <c r="D344" s="30">
        <v>128</v>
      </c>
      <c r="E344" s="28">
        <v>0.2</v>
      </c>
      <c r="F344" s="3">
        <v>50</v>
      </c>
      <c r="G344" s="28">
        <v>25</v>
      </c>
      <c r="H344" s="28">
        <v>150</v>
      </c>
      <c r="I344" s="28">
        <f t="shared" si="22"/>
        <v>128</v>
      </c>
      <c r="J344" s="28">
        <f t="shared" si="23"/>
        <v>128</v>
      </c>
      <c r="K344" s="29">
        <f t="shared" si="21"/>
        <v>263</v>
      </c>
      <c r="L344" s="24">
        <v>30000</v>
      </c>
      <c r="M344" s="3">
        <v>42000</v>
      </c>
      <c r="N344" s="28">
        <v>100</v>
      </c>
      <c r="P344" s="25" t="s">
        <v>394</v>
      </c>
    </row>
    <row r="345" spans="1:16" s="28" customFormat="1" x14ac:dyDescent="0.25">
      <c r="A345" s="28" t="s">
        <v>27</v>
      </c>
      <c r="B345" s="25" t="s">
        <v>34</v>
      </c>
      <c r="C345" s="25">
        <v>3000</v>
      </c>
      <c r="D345" s="30">
        <v>129</v>
      </c>
      <c r="E345" s="28">
        <v>0.2</v>
      </c>
      <c r="F345" s="3">
        <v>50</v>
      </c>
      <c r="G345" s="28">
        <v>25</v>
      </c>
      <c r="H345" s="28">
        <v>150</v>
      </c>
      <c r="I345" s="28">
        <f t="shared" si="22"/>
        <v>129</v>
      </c>
      <c r="J345" s="28">
        <f t="shared" si="23"/>
        <v>129</v>
      </c>
      <c r="K345" s="29">
        <f t="shared" si="21"/>
        <v>264</v>
      </c>
      <c r="L345" s="24">
        <v>30000</v>
      </c>
      <c r="M345" s="3">
        <v>42000</v>
      </c>
      <c r="N345" s="28">
        <v>100</v>
      </c>
      <c r="P345" s="25" t="s">
        <v>395</v>
      </c>
    </row>
    <row r="346" spans="1:16" s="28" customFormat="1" x14ac:dyDescent="0.25">
      <c r="A346" s="28" t="s">
        <v>27</v>
      </c>
      <c r="B346" s="25" t="s">
        <v>34</v>
      </c>
      <c r="C346" s="25">
        <v>3000</v>
      </c>
      <c r="D346" s="28">
        <v>130</v>
      </c>
      <c r="E346" s="28">
        <v>0.2</v>
      </c>
      <c r="F346" s="3">
        <v>50</v>
      </c>
      <c r="G346" s="28">
        <v>25</v>
      </c>
      <c r="H346" s="28">
        <v>150</v>
      </c>
      <c r="I346" s="28">
        <f t="shared" si="22"/>
        <v>130</v>
      </c>
      <c r="J346" s="28">
        <f t="shared" si="23"/>
        <v>130</v>
      </c>
      <c r="K346" s="29">
        <f t="shared" si="21"/>
        <v>265</v>
      </c>
      <c r="L346" s="24">
        <v>30000</v>
      </c>
      <c r="M346" s="3">
        <v>42000</v>
      </c>
      <c r="N346" s="28">
        <v>100</v>
      </c>
      <c r="P346" s="25" t="s">
        <v>396</v>
      </c>
    </row>
    <row r="347" spans="1:16" s="28" customFormat="1" x14ac:dyDescent="0.25">
      <c r="A347" s="28" t="s">
        <v>27</v>
      </c>
      <c r="B347" s="25" t="s">
        <v>34</v>
      </c>
      <c r="C347" s="25">
        <v>3000</v>
      </c>
      <c r="D347" s="30">
        <v>131</v>
      </c>
      <c r="E347" s="28">
        <v>0.2</v>
      </c>
      <c r="F347" s="3">
        <v>50</v>
      </c>
      <c r="G347" s="28">
        <v>25</v>
      </c>
      <c r="H347" s="28">
        <v>150</v>
      </c>
      <c r="I347" s="28">
        <f t="shared" si="22"/>
        <v>131</v>
      </c>
      <c r="J347" s="28">
        <f t="shared" si="23"/>
        <v>131</v>
      </c>
      <c r="K347" s="29">
        <f t="shared" si="21"/>
        <v>266</v>
      </c>
      <c r="L347" s="24">
        <v>30000</v>
      </c>
      <c r="M347" s="3">
        <v>42000</v>
      </c>
      <c r="N347" s="28">
        <v>100</v>
      </c>
      <c r="P347" s="25" t="s">
        <v>397</v>
      </c>
    </row>
    <row r="348" spans="1:16" s="28" customFormat="1" x14ac:dyDescent="0.25">
      <c r="A348" s="28" t="s">
        <v>27</v>
      </c>
      <c r="B348" s="25" t="s">
        <v>34</v>
      </c>
      <c r="C348" s="25">
        <v>3000</v>
      </c>
      <c r="D348" s="30">
        <v>132</v>
      </c>
      <c r="E348" s="28">
        <v>0.2</v>
      </c>
      <c r="F348" s="3">
        <v>50</v>
      </c>
      <c r="G348" s="28">
        <v>25</v>
      </c>
      <c r="H348" s="28">
        <v>150</v>
      </c>
      <c r="I348" s="28">
        <f t="shared" si="22"/>
        <v>132</v>
      </c>
      <c r="J348" s="28">
        <f t="shared" si="23"/>
        <v>132</v>
      </c>
      <c r="K348" s="29">
        <f t="shared" si="21"/>
        <v>267</v>
      </c>
      <c r="L348" s="24">
        <v>30000</v>
      </c>
      <c r="M348" s="3">
        <v>42000</v>
      </c>
      <c r="N348" s="28">
        <v>100</v>
      </c>
      <c r="P348" s="25" t="s">
        <v>398</v>
      </c>
    </row>
    <row r="349" spans="1:16" s="28" customFormat="1" x14ac:dyDescent="0.25">
      <c r="A349" s="28" t="s">
        <v>27</v>
      </c>
      <c r="B349" s="25" t="s">
        <v>34</v>
      </c>
      <c r="C349" s="25">
        <v>3000</v>
      </c>
      <c r="D349" s="28">
        <v>133</v>
      </c>
      <c r="E349" s="28">
        <v>0.2</v>
      </c>
      <c r="F349" s="3">
        <v>50</v>
      </c>
      <c r="G349" s="28">
        <v>25</v>
      </c>
      <c r="H349" s="28">
        <v>150</v>
      </c>
      <c r="I349" s="28">
        <f t="shared" si="22"/>
        <v>133</v>
      </c>
      <c r="J349" s="28">
        <f t="shared" si="23"/>
        <v>133</v>
      </c>
      <c r="K349" s="29">
        <f t="shared" si="21"/>
        <v>268</v>
      </c>
      <c r="L349" s="24">
        <v>30000</v>
      </c>
      <c r="M349" s="3">
        <v>42000</v>
      </c>
      <c r="N349" s="28">
        <v>100</v>
      </c>
      <c r="P349" s="25" t="s">
        <v>399</v>
      </c>
    </row>
    <row r="350" spans="1:16" s="28" customFormat="1" x14ac:dyDescent="0.25">
      <c r="A350" s="28" t="s">
        <v>27</v>
      </c>
      <c r="B350" s="25" t="s">
        <v>34</v>
      </c>
      <c r="C350" s="25">
        <v>3000</v>
      </c>
      <c r="D350" s="30">
        <v>134</v>
      </c>
      <c r="E350" s="28">
        <v>0.2</v>
      </c>
      <c r="F350" s="3">
        <v>50</v>
      </c>
      <c r="G350" s="28">
        <v>25</v>
      </c>
      <c r="H350" s="28">
        <v>150</v>
      </c>
      <c r="I350" s="28">
        <f t="shared" si="22"/>
        <v>134</v>
      </c>
      <c r="J350" s="28">
        <f t="shared" si="23"/>
        <v>134</v>
      </c>
      <c r="K350" s="29">
        <f t="shared" si="21"/>
        <v>269</v>
      </c>
      <c r="L350" s="24">
        <v>30000</v>
      </c>
      <c r="M350" s="3">
        <v>42000</v>
      </c>
      <c r="N350" s="28">
        <v>100</v>
      </c>
      <c r="P350" s="25" t="s">
        <v>400</v>
      </c>
    </row>
    <row r="351" spans="1:16" s="28" customFormat="1" x14ac:dyDescent="0.25">
      <c r="A351" s="28" t="s">
        <v>27</v>
      </c>
      <c r="B351" s="25" t="s">
        <v>34</v>
      </c>
      <c r="C351" s="25">
        <v>3000</v>
      </c>
      <c r="D351" s="30">
        <v>135</v>
      </c>
      <c r="E351" s="28">
        <v>0.2</v>
      </c>
      <c r="F351" s="3">
        <v>50</v>
      </c>
      <c r="G351" s="28">
        <v>25</v>
      </c>
      <c r="H351" s="28">
        <v>150</v>
      </c>
      <c r="I351" s="28">
        <f t="shared" si="22"/>
        <v>135</v>
      </c>
      <c r="J351" s="28">
        <f t="shared" si="23"/>
        <v>135</v>
      </c>
      <c r="K351" s="29">
        <f t="shared" si="21"/>
        <v>270</v>
      </c>
      <c r="L351" s="24">
        <v>30000</v>
      </c>
      <c r="M351" s="3">
        <v>42000</v>
      </c>
      <c r="N351" s="28">
        <v>100</v>
      </c>
      <c r="P351" s="25" t="s">
        <v>401</v>
      </c>
    </row>
    <row r="352" spans="1:16" s="28" customFormat="1" x14ac:dyDescent="0.25">
      <c r="A352" s="28" t="s">
        <v>27</v>
      </c>
      <c r="B352" s="25" t="s">
        <v>34</v>
      </c>
      <c r="C352" s="25">
        <v>3000</v>
      </c>
      <c r="D352" s="28">
        <v>136</v>
      </c>
      <c r="E352" s="28">
        <v>0.2</v>
      </c>
      <c r="F352" s="3">
        <v>50</v>
      </c>
      <c r="G352" s="28">
        <v>25</v>
      </c>
      <c r="H352" s="28">
        <v>150</v>
      </c>
      <c r="I352" s="28">
        <f t="shared" si="22"/>
        <v>136</v>
      </c>
      <c r="J352" s="28">
        <f t="shared" si="23"/>
        <v>136</v>
      </c>
      <c r="K352" s="29">
        <f t="shared" si="21"/>
        <v>271</v>
      </c>
      <c r="L352" s="24">
        <v>30000</v>
      </c>
      <c r="M352" s="3">
        <v>42000</v>
      </c>
      <c r="N352" s="28">
        <v>100</v>
      </c>
      <c r="P352" s="25" t="s">
        <v>402</v>
      </c>
    </row>
    <row r="353" spans="1:16" s="28" customFormat="1" x14ac:dyDescent="0.25">
      <c r="A353" s="28" t="s">
        <v>27</v>
      </c>
      <c r="B353" s="25" t="s">
        <v>34</v>
      </c>
      <c r="C353" s="25">
        <v>3000</v>
      </c>
      <c r="D353" s="30">
        <v>137</v>
      </c>
      <c r="E353" s="28">
        <v>0.2</v>
      </c>
      <c r="F353" s="3">
        <v>50</v>
      </c>
      <c r="G353" s="28">
        <v>25</v>
      </c>
      <c r="H353" s="28">
        <v>150</v>
      </c>
      <c r="I353" s="28">
        <f t="shared" si="22"/>
        <v>137</v>
      </c>
      <c r="J353" s="28">
        <f t="shared" si="23"/>
        <v>137</v>
      </c>
      <c r="K353" s="29">
        <f t="shared" si="21"/>
        <v>272</v>
      </c>
      <c r="L353" s="24">
        <v>30000</v>
      </c>
      <c r="M353" s="3">
        <v>42000</v>
      </c>
      <c r="N353" s="28">
        <v>100</v>
      </c>
      <c r="P353" s="25" t="s">
        <v>403</v>
      </c>
    </row>
    <row r="354" spans="1:16" s="28" customFormat="1" x14ac:dyDescent="0.25">
      <c r="A354" s="28" t="s">
        <v>27</v>
      </c>
      <c r="B354" s="25" t="s">
        <v>34</v>
      </c>
      <c r="C354" s="25">
        <v>3000</v>
      </c>
      <c r="D354" s="30">
        <v>138</v>
      </c>
      <c r="E354" s="28">
        <v>0.2</v>
      </c>
      <c r="F354" s="3">
        <v>50</v>
      </c>
      <c r="G354" s="28">
        <v>25</v>
      </c>
      <c r="H354" s="28">
        <v>150</v>
      </c>
      <c r="I354" s="28">
        <f t="shared" si="22"/>
        <v>138</v>
      </c>
      <c r="J354" s="28">
        <f t="shared" si="23"/>
        <v>138</v>
      </c>
      <c r="K354" s="29">
        <f t="shared" si="21"/>
        <v>273</v>
      </c>
      <c r="L354" s="24">
        <v>30000</v>
      </c>
      <c r="M354" s="3">
        <v>42000</v>
      </c>
      <c r="N354" s="28">
        <v>100</v>
      </c>
      <c r="P354" s="25" t="s">
        <v>404</v>
      </c>
    </row>
    <row r="355" spans="1:16" s="28" customFormat="1" x14ac:dyDescent="0.25">
      <c r="A355" s="28" t="s">
        <v>27</v>
      </c>
      <c r="B355" s="25" t="s">
        <v>34</v>
      </c>
      <c r="C355" s="25">
        <v>3000</v>
      </c>
      <c r="D355" s="28">
        <v>139</v>
      </c>
      <c r="E355" s="28">
        <v>0.2</v>
      </c>
      <c r="F355" s="3">
        <v>50</v>
      </c>
      <c r="G355" s="28">
        <v>25</v>
      </c>
      <c r="H355" s="28">
        <v>150</v>
      </c>
      <c r="I355" s="28">
        <f t="shared" si="22"/>
        <v>139</v>
      </c>
      <c r="J355" s="28">
        <f t="shared" si="23"/>
        <v>139</v>
      </c>
      <c r="K355" s="29">
        <f t="shared" ref="K355:K376" si="24">135+D355</f>
        <v>274</v>
      </c>
      <c r="L355" s="24">
        <v>30000</v>
      </c>
      <c r="M355" s="3">
        <v>42000</v>
      </c>
      <c r="N355" s="28">
        <v>100</v>
      </c>
      <c r="P355" s="25" t="s">
        <v>405</v>
      </c>
    </row>
    <row r="356" spans="1:16" s="28" customFormat="1" x14ac:dyDescent="0.25">
      <c r="A356" s="28" t="s">
        <v>27</v>
      </c>
      <c r="B356" s="25" t="s">
        <v>34</v>
      </c>
      <c r="C356" s="25">
        <v>3000</v>
      </c>
      <c r="D356" s="30">
        <v>140</v>
      </c>
      <c r="E356" s="28">
        <v>0.2</v>
      </c>
      <c r="F356" s="3">
        <v>50</v>
      </c>
      <c r="G356" s="28">
        <v>25</v>
      </c>
      <c r="H356" s="28">
        <v>150</v>
      </c>
      <c r="I356" s="28">
        <f t="shared" si="22"/>
        <v>140</v>
      </c>
      <c r="J356" s="28">
        <f t="shared" si="23"/>
        <v>140</v>
      </c>
      <c r="K356" s="29">
        <f t="shared" si="24"/>
        <v>275</v>
      </c>
      <c r="L356" s="24">
        <v>30000</v>
      </c>
      <c r="M356" s="3">
        <v>42000</v>
      </c>
      <c r="N356" s="28">
        <v>100</v>
      </c>
      <c r="P356" s="25" t="s">
        <v>406</v>
      </c>
    </row>
    <row r="357" spans="1:16" s="28" customFormat="1" x14ac:dyDescent="0.25">
      <c r="A357" s="28" t="s">
        <v>27</v>
      </c>
      <c r="B357" s="25" t="s">
        <v>34</v>
      </c>
      <c r="C357" s="25">
        <v>3000</v>
      </c>
      <c r="D357" s="30">
        <v>141</v>
      </c>
      <c r="E357" s="28">
        <v>0.2</v>
      </c>
      <c r="F357" s="3">
        <v>50</v>
      </c>
      <c r="G357" s="28">
        <v>25</v>
      </c>
      <c r="H357" s="28">
        <v>150</v>
      </c>
      <c r="I357" s="28">
        <f t="shared" si="22"/>
        <v>141</v>
      </c>
      <c r="J357" s="28">
        <f t="shared" si="23"/>
        <v>141</v>
      </c>
      <c r="K357" s="29">
        <f t="shared" si="24"/>
        <v>276</v>
      </c>
      <c r="L357" s="24">
        <v>30000</v>
      </c>
      <c r="M357" s="3">
        <v>42000</v>
      </c>
      <c r="N357" s="28">
        <v>100</v>
      </c>
      <c r="P357" s="25" t="s">
        <v>407</v>
      </c>
    </row>
    <row r="358" spans="1:16" s="28" customFormat="1" x14ac:dyDescent="0.25">
      <c r="A358" s="28" t="s">
        <v>27</v>
      </c>
      <c r="B358" s="25" t="s">
        <v>34</v>
      </c>
      <c r="C358" s="25">
        <v>3000</v>
      </c>
      <c r="D358" s="28">
        <v>142</v>
      </c>
      <c r="E358" s="28">
        <v>0.2</v>
      </c>
      <c r="F358" s="3">
        <v>50</v>
      </c>
      <c r="G358" s="28">
        <v>25</v>
      </c>
      <c r="H358" s="28">
        <v>150</v>
      </c>
      <c r="I358" s="28">
        <f t="shared" si="22"/>
        <v>142</v>
      </c>
      <c r="J358" s="28">
        <f t="shared" si="23"/>
        <v>142</v>
      </c>
      <c r="K358" s="29">
        <f t="shared" si="24"/>
        <v>277</v>
      </c>
      <c r="L358" s="24">
        <v>30000</v>
      </c>
      <c r="M358" s="3">
        <v>42000</v>
      </c>
      <c r="N358" s="28">
        <v>100</v>
      </c>
      <c r="P358" s="25" t="s">
        <v>408</v>
      </c>
    </row>
    <row r="359" spans="1:16" s="28" customFormat="1" x14ac:dyDescent="0.25">
      <c r="A359" s="28" t="s">
        <v>27</v>
      </c>
      <c r="B359" s="25" t="s">
        <v>34</v>
      </c>
      <c r="C359" s="25">
        <v>3000</v>
      </c>
      <c r="D359" s="30">
        <v>143</v>
      </c>
      <c r="E359" s="28">
        <v>0.2</v>
      </c>
      <c r="F359" s="3">
        <v>50</v>
      </c>
      <c r="G359" s="28">
        <v>25</v>
      </c>
      <c r="H359" s="28">
        <v>150</v>
      </c>
      <c r="I359" s="28">
        <f t="shared" si="22"/>
        <v>143</v>
      </c>
      <c r="J359" s="28">
        <f t="shared" si="23"/>
        <v>143</v>
      </c>
      <c r="K359" s="29">
        <f t="shared" si="24"/>
        <v>278</v>
      </c>
      <c r="L359" s="24">
        <v>30000</v>
      </c>
      <c r="M359" s="3">
        <v>42000</v>
      </c>
      <c r="N359" s="28">
        <v>100</v>
      </c>
      <c r="P359" s="25" t="s">
        <v>409</v>
      </c>
    </row>
    <row r="360" spans="1:16" s="28" customFormat="1" x14ac:dyDescent="0.25">
      <c r="A360" s="28" t="s">
        <v>27</v>
      </c>
      <c r="B360" s="25" t="s">
        <v>34</v>
      </c>
      <c r="C360" s="25">
        <v>3000</v>
      </c>
      <c r="D360" s="30">
        <v>144</v>
      </c>
      <c r="E360" s="28">
        <v>0.2</v>
      </c>
      <c r="F360" s="3">
        <v>50</v>
      </c>
      <c r="G360" s="28">
        <v>25</v>
      </c>
      <c r="H360" s="28">
        <v>150</v>
      </c>
      <c r="I360" s="28">
        <f t="shared" si="22"/>
        <v>144</v>
      </c>
      <c r="J360" s="28">
        <f t="shared" si="23"/>
        <v>144</v>
      </c>
      <c r="K360" s="29">
        <f t="shared" si="24"/>
        <v>279</v>
      </c>
      <c r="L360" s="24">
        <v>30000</v>
      </c>
      <c r="M360" s="3">
        <v>42000</v>
      </c>
      <c r="N360" s="28">
        <v>100</v>
      </c>
      <c r="P360" s="25" t="s">
        <v>410</v>
      </c>
    </row>
    <row r="361" spans="1:16" s="28" customFormat="1" x14ac:dyDescent="0.25">
      <c r="A361" s="28" t="s">
        <v>27</v>
      </c>
      <c r="B361" s="25" t="s">
        <v>34</v>
      </c>
      <c r="C361" s="25">
        <v>3000</v>
      </c>
      <c r="D361" s="28">
        <v>145</v>
      </c>
      <c r="E361" s="28">
        <v>0.2</v>
      </c>
      <c r="F361" s="3">
        <v>50</v>
      </c>
      <c r="G361" s="28">
        <v>25</v>
      </c>
      <c r="H361" s="28">
        <v>150</v>
      </c>
      <c r="I361" s="28">
        <f t="shared" si="22"/>
        <v>145</v>
      </c>
      <c r="J361" s="28">
        <f t="shared" si="23"/>
        <v>145</v>
      </c>
      <c r="K361" s="29">
        <f t="shared" si="24"/>
        <v>280</v>
      </c>
      <c r="L361" s="24">
        <v>30000</v>
      </c>
      <c r="M361" s="3">
        <v>42000</v>
      </c>
      <c r="N361" s="28">
        <v>100</v>
      </c>
      <c r="P361" s="25" t="s">
        <v>411</v>
      </c>
    </row>
    <row r="362" spans="1:16" s="28" customFormat="1" x14ac:dyDescent="0.25">
      <c r="A362" s="28" t="s">
        <v>27</v>
      </c>
      <c r="B362" s="25" t="s">
        <v>34</v>
      </c>
      <c r="C362" s="25">
        <v>3000</v>
      </c>
      <c r="D362" s="30">
        <v>146</v>
      </c>
      <c r="E362" s="28">
        <v>0.2</v>
      </c>
      <c r="F362" s="3">
        <v>50</v>
      </c>
      <c r="G362" s="28">
        <v>25</v>
      </c>
      <c r="H362" s="28">
        <v>150</v>
      </c>
      <c r="I362" s="28">
        <f t="shared" si="22"/>
        <v>146</v>
      </c>
      <c r="J362" s="28">
        <f t="shared" si="23"/>
        <v>146</v>
      </c>
      <c r="K362" s="29">
        <f t="shared" si="24"/>
        <v>281</v>
      </c>
      <c r="L362" s="24">
        <v>30000</v>
      </c>
      <c r="M362" s="3">
        <v>42000</v>
      </c>
      <c r="N362" s="28">
        <v>100</v>
      </c>
      <c r="P362" s="25" t="s">
        <v>412</v>
      </c>
    </row>
    <row r="363" spans="1:16" s="28" customFormat="1" x14ac:dyDescent="0.25">
      <c r="A363" s="28" t="s">
        <v>27</v>
      </c>
      <c r="B363" s="25" t="s">
        <v>34</v>
      </c>
      <c r="C363" s="25">
        <v>3000</v>
      </c>
      <c r="D363" s="30">
        <v>147</v>
      </c>
      <c r="E363" s="28">
        <v>0.2</v>
      </c>
      <c r="F363" s="3">
        <v>50</v>
      </c>
      <c r="G363" s="28">
        <v>25</v>
      </c>
      <c r="H363" s="28">
        <v>150</v>
      </c>
      <c r="I363" s="28">
        <f t="shared" si="22"/>
        <v>147</v>
      </c>
      <c r="J363" s="28">
        <f t="shared" si="23"/>
        <v>147</v>
      </c>
      <c r="K363" s="29">
        <f t="shared" si="24"/>
        <v>282</v>
      </c>
      <c r="L363" s="24">
        <v>30000</v>
      </c>
      <c r="M363" s="3">
        <v>42000</v>
      </c>
      <c r="N363" s="28">
        <v>100</v>
      </c>
      <c r="P363" s="25" t="s">
        <v>413</v>
      </c>
    </row>
    <row r="364" spans="1:16" s="28" customFormat="1" x14ac:dyDescent="0.25">
      <c r="A364" s="28" t="s">
        <v>27</v>
      </c>
      <c r="B364" s="25" t="s">
        <v>34</v>
      </c>
      <c r="C364" s="25">
        <v>3000</v>
      </c>
      <c r="D364" s="28">
        <v>148</v>
      </c>
      <c r="E364" s="28">
        <v>0.2</v>
      </c>
      <c r="F364" s="3">
        <v>50</v>
      </c>
      <c r="G364" s="28">
        <v>25</v>
      </c>
      <c r="H364" s="28">
        <v>150</v>
      </c>
      <c r="I364" s="28">
        <f t="shared" si="22"/>
        <v>148</v>
      </c>
      <c r="J364" s="28">
        <f t="shared" si="23"/>
        <v>148</v>
      </c>
      <c r="K364" s="29">
        <f t="shared" si="24"/>
        <v>283</v>
      </c>
      <c r="L364" s="24">
        <v>30000</v>
      </c>
      <c r="M364" s="3">
        <v>42000</v>
      </c>
      <c r="N364" s="28">
        <v>100</v>
      </c>
      <c r="P364" s="25" t="s">
        <v>414</v>
      </c>
    </row>
    <row r="365" spans="1:16" s="28" customFormat="1" x14ac:dyDescent="0.25">
      <c r="A365" s="28" t="s">
        <v>27</v>
      </c>
      <c r="B365" s="25" t="s">
        <v>34</v>
      </c>
      <c r="C365" s="25">
        <v>3000</v>
      </c>
      <c r="D365" s="30">
        <v>149</v>
      </c>
      <c r="E365" s="28">
        <v>0.2</v>
      </c>
      <c r="F365" s="3">
        <v>50</v>
      </c>
      <c r="G365" s="28">
        <v>25</v>
      </c>
      <c r="H365" s="28">
        <v>150</v>
      </c>
      <c r="I365" s="28">
        <f t="shared" si="22"/>
        <v>149</v>
      </c>
      <c r="J365" s="28">
        <f t="shared" si="23"/>
        <v>149</v>
      </c>
      <c r="K365" s="29">
        <f t="shared" si="24"/>
        <v>284</v>
      </c>
      <c r="L365" s="24">
        <v>30000</v>
      </c>
      <c r="M365" s="3">
        <v>42000</v>
      </c>
      <c r="N365" s="28">
        <v>100</v>
      </c>
      <c r="P365" s="25" t="s">
        <v>415</v>
      </c>
    </row>
    <row r="366" spans="1:16" s="28" customFormat="1" x14ac:dyDescent="0.25">
      <c r="A366" s="28" t="s">
        <v>27</v>
      </c>
      <c r="B366" s="25" t="s">
        <v>34</v>
      </c>
      <c r="C366" s="25">
        <v>3000</v>
      </c>
      <c r="D366" s="30">
        <v>150</v>
      </c>
      <c r="E366" s="28">
        <v>0.2</v>
      </c>
      <c r="F366" s="3">
        <v>50</v>
      </c>
      <c r="G366" s="28">
        <v>25</v>
      </c>
      <c r="H366" s="28">
        <v>150</v>
      </c>
      <c r="I366" s="28">
        <f t="shared" si="22"/>
        <v>150</v>
      </c>
      <c r="J366" s="28">
        <f t="shared" si="23"/>
        <v>150</v>
      </c>
      <c r="K366" s="29">
        <f t="shared" si="24"/>
        <v>285</v>
      </c>
      <c r="L366" s="24">
        <v>30000</v>
      </c>
      <c r="M366" s="3">
        <v>42000</v>
      </c>
      <c r="N366" s="28">
        <v>100</v>
      </c>
      <c r="P366" s="25" t="s">
        <v>416</v>
      </c>
    </row>
    <row r="367" spans="1:16" s="28" customFormat="1" x14ac:dyDescent="0.25">
      <c r="A367" s="28" t="s">
        <v>27</v>
      </c>
      <c r="B367" s="25" t="s">
        <v>34</v>
      </c>
      <c r="C367" s="25">
        <v>3000</v>
      </c>
      <c r="D367" s="28">
        <v>151</v>
      </c>
      <c r="E367" s="28">
        <v>0.2</v>
      </c>
      <c r="F367" s="3">
        <v>50</v>
      </c>
      <c r="G367" s="28">
        <v>25</v>
      </c>
      <c r="H367" s="28">
        <v>150</v>
      </c>
      <c r="I367" s="28">
        <f t="shared" si="22"/>
        <v>151</v>
      </c>
      <c r="J367" s="28">
        <f t="shared" si="23"/>
        <v>151</v>
      </c>
      <c r="K367" s="29">
        <f t="shared" si="24"/>
        <v>286</v>
      </c>
      <c r="L367" s="24">
        <v>30000</v>
      </c>
      <c r="M367" s="3">
        <v>42000</v>
      </c>
      <c r="N367" s="28">
        <v>100</v>
      </c>
      <c r="P367" s="25" t="s">
        <v>417</v>
      </c>
    </row>
    <row r="368" spans="1:16" s="28" customFormat="1" x14ac:dyDescent="0.25">
      <c r="A368" s="28" t="s">
        <v>27</v>
      </c>
      <c r="B368" s="25" t="s">
        <v>34</v>
      </c>
      <c r="C368" s="25">
        <v>3000</v>
      </c>
      <c r="D368" s="30">
        <v>152</v>
      </c>
      <c r="E368" s="28">
        <v>0.2</v>
      </c>
      <c r="F368" s="3">
        <v>50</v>
      </c>
      <c r="G368" s="28">
        <v>25</v>
      </c>
      <c r="H368" s="28">
        <v>150</v>
      </c>
      <c r="I368" s="28">
        <f t="shared" si="22"/>
        <v>152</v>
      </c>
      <c r="J368" s="28">
        <f t="shared" si="23"/>
        <v>152</v>
      </c>
      <c r="K368" s="29">
        <f t="shared" si="24"/>
        <v>287</v>
      </c>
      <c r="L368" s="24">
        <v>30000</v>
      </c>
      <c r="M368" s="3">
        <v>42000</v>
      </c>
      <c r="N368" s="28">
        <v>100</v>
      </c>
      <c r="P368" s="25" t="s">
        <v>418</v>
      </c>
    </row>
    <row r="369" spans="1:16" s="28" customFormat="1" x14ac:dyDescent="0.25">
      <c r="A369" s="28" t="s">
        <v>27</v>
      </c>
      <c r="B369" s="25" t="s">
        <v>34</v>
      </c>
      <c r="C369" s="25">
        <v>3000</v>
      </c>
      <c r="D369" s="30">
        <v>153</v>
      </c>
      <c r="E369" s="28">
        <v>0.2</v>
      </c>
      <c r="F369" s="3">
        <v>50</v>
      </c>
      <c r="G369" s="28">
        <v>25</v>
      </c>
      <c r="H369" s="28">
        <v>150</v>
      </c>
      <c r="I369" s="28">
        <f t="shared" si="22"/>
        <v>153</v>
      </c>
      <c r="J369" s="28">
        <f t="shared" si="23"/>
        <v>153</v>
      </c>
      <c r="K369" s="29">
        <f t="shared" si="24"/>
        <v>288</v>
      </c>
      <c r="L369" s="24">
        <v>30000</v>
      </c>
      <c r="M369" s="3">
        <v>42000</v>
      </c>
      <c r="N369" s="28">
        <v>100</v>
      </c>
      <c r="P369" s="25" t="s">
        <v>419</v>
      </c>
    </row>
    <row r="370" spans="1:16" s="28" customFormat="1" x14ac:dyDescent="0.25">
      <c r="A370" s="28" t="s">
        <v>27</v>
      </c>
      <c r="B370" s="25" t="s">
        <v>34</v>
      </c>
      <c r="C370" s="25">
        <v>3000</v>
      </c>
      <c r="D370" s="28">
        <v>154</v>
      </c>
      <c r="E370" s="28">
        <v>0.2</v>
      </c>
      <c r="F370" s="3">
        <v>50</v>
      </c>
      <c r="G370" s="28">
        <v>25</v>
      </c>
      <c r="H370" s="28">
        <v>150</v>
      </c>
      <c r="I370" s="28">
        <f t="shared" si="22"/>
        <v>154</v>
      </c>
      <c r="J370" s="28">
        <f t="shared" si="23"/>
        <v>154</v>
      </c>
      <c r="K370" s="29">
        <f t="shared" si="24"/>
        <v>289</v>
      </c>
      <c r="L370" s="24">
        <v>30000</v>
      </c>
      <c r="M370" s="3">
        <v>42000</v>
      </c>
      <c r="N370" s="28">
        <v>100</v>
      </c>
      <c r="P370" s="25" t="s">
        <v>420</v>
      </c>
    </row>
    <row r="371" spans="1:16" s="28" customFormat="1" x14ac:dyDescent="0.25">
      <c r="A371" s="28" t="s">
        <v>27</v>
      </c>
      <c r="B371" s="25" t="s">
        <v>34</v>
      </c>
      <c r="C371" s="25">
        <v>3000</v>
      </c>
      <c r="D371" s="30">
        <v>155</v>
      </c>
      <c r="E371" s="28">
        <v>0.2</v>
      </c>
      <c r="F371" s="3">
        <v>50</v>
      </c>
      <c r="G371" s="28">
        <v>25</v>
      </c>
      <c r="H371" s="28">
        <v>150</v>
      </c>
      <c r="I371" s="28">
        <f t="shared" si="22"/>
        <v>155</v>
      </c>
      <c r="J371" s="28">
        <f t="shared" si="23"/>
        <v>155</v>
      </c>
      <c r="K371" s="29">
        <f t="shared" si="24"/>
        <v>290</v>
      </c>
      <c r="L371" s="24">
        <v>30000</v>
      </c>
      <c r="M371" s="3">
        <v>42000</v>
      </c>
      <c r="N371" s="28">
        <v>100</v>
      </c>
      <c r="P371" s="25" t="s">
        <v>421</v>
      </c>
    </row>
    <row r="372" spans="1:16" s="28" customFormat="1" x14ac:dyDescent="0.25">
      <c r="A372" s="28" t="s">
        <v>27</v>
      </c>
      <c r="B372" s="25" t="s">
        <v>34</v>
      </c>
      <c r="C372" s="25">
        <v>3000</v>
      </c>
      <c r="D372" s="30">
        <v>156</v>
      </c>
      <c r="E372" s="28">
        <v>0.2</v>
      </c>
      <c r="F372" s="3">
        <v>50</v>
      </c>
      <c r="G372" s="28">
        <v>25</v>
      </c>
      <c r="H372" s="28">
        <v>150</v>
      </c>
      <c r="I372" s="28">
        <f t="shared" si="22"/>
        <v>156</v>
      </c>
      <c r="J372" s="28">
        <f t="shared" si="23"/>
        <v>156</v>
      </c>
      <c r="K372" s="29">
        <f t="shared" si="24"/>
        <v>291</v>
      </c>
      <c r="L372" s="24">
        <v>30000</v>
      </c>
      <c r="M372" s="3">
        <v>42000</v>
      </c>
      <c r="N372" s="28">
        <v>100</v>
      </c>
      <c r="P372" s="25" t="s">
        <v>422</v>
      </c>
    </row>
    <row r="373" spans="1:16" s="28" customFormat="1" x14ac:dyDescent="0.25">
      <c r="A373" s="28" t="s">
        <v>27</v>
      </c>
      <c r="B373" s="25" t="s">
        <v>34</v>
      </c>
      <c r="C373" s="25">
        <v>3000</v>
      </c>
      <c r="D373" s="28">
        <v>157</v>
      </c>
      <c r="E373" s="28">
        <v>0.2</v>
      </c>
      <c r="F373" s="3">
        <v>50</v>
      </c>
      <c r="G373" s="28">
        <v>25</v>
      </c>
      <c r="H373" s="28">
        <v>150</v>
      </c>
      <c r="I373" s="28">
        <f t="shared" si="22"/>
        <v>157</v>
      </c>
      <c r="J373" s="28">
        <f t="shared" si="23"/>
        <v>157</v>
      </c>
      <c r="K373" s="29">
        <f t="shared" si="24"/>
        <v>292</v>
      </c>
      <c r="L373" s="24">
        <v>30000</v>
      </c>
      <c r="M373" s="3">
        <v>42000</v>
      </c>
      <c r="N373" s="28">
        <v>100</v>
      </c>
      <c r="P373" s="25" t="s">
        <v>423</v>
      </c>
    </row>
    <row r="374" spans="1:16" s="28" customFormat="1" x14ac:dyDescent="0.25">
      <c r="A374" s="28" t="s">
        <v>27</v>
      </c>
      <c r="B374" s="25" t="s">
        <v>34</v>
      </c>
      <c r="C374" s="25">
        <v>3000</v>
      </c>
      <c r="D374" s="30">
        <v>158</v>
      </c>
      <c r="E374" s="28">
        <v>0.2</v>
      </c>
      <c r="F374" s="3">
        <v>50</v>
      </c>
      <c r="G374" s="28">
        <v>25</v>
      </c>
      <c r="H374" s="28">
        <v>150</v>
      </c>
      <c r="I374" s="28">
        <f t="shared" si="22"/>
        <v>158</v>
      </c>
      <c r="J374" s="28">
        <f t="shared" si="23"/>
        <v>158</v>
      </c>
      <c r="K374" s="29">
        <f t="shared" si="24"/>
        <v>293</v>
      </c>
      <c r="L374" s="24">
        <v>30000</v>
      </c>
      <c r="M374" s="3">
        <v>42000</v>
      </c>
      <c r="N374" s="28">
        <v>100</v>
      </c>
      <c r="P374" s="25" t="s">
        <v>424</v>
      </c>
    </row>
    <row r="375" spans="1:16" s="28" customFormat="1" x14ac:dyDescent="0.25">
      <c r="A375" s="28" t="s">
        <v>27</v>
      </c>
      <c r="B375" s="25" t="s">
        <v>34</v>
      </c>
      <c r="C375" s="25">
        <v>3000</v>
      </c>
      <c r="D375" s="30">
        <v>159</v>
      </c>
      <c r="E375" s="28">
        <v>0.2</v>
      </c>
      <c r="F375" s="3">
        <v>50</v>
      </c>
      <c r="G375" s="28">
        <v>25</v>
      </c>
      <c r="H375" s="28">
        <v>150</v>
      </c>
      <c r="I375" s="28">
        <f t="shared" si="22"/>
        <v>159</v>
      </c>
      <c r="J375" s="28">
        <f t="shared" si="23"/>
        <v>159</v>
      </c>
      <c r="K375" s="29">
        <f t="shared" si="24"/>
        <v>294</v>
      </c>
      <c r="L375" s="24">
        <v>30000</v>
      </c>
      <c r="M375" s="3">
        <v>42000</v>
      </c>
      <c r="N375" s="28">
        <v>100</v>
      </c>
      <c r="P375" s="25" t="s">
        <v>425</v>
      </c>
    </row>
    <row r="376" spans="1:16" s="28" customFormat="1" x14ac:dyDescent="0.25">
      <c r="A376" s="28" t="s">
        <v>27</v>
      </c>
      <c r="B376" s="25" t="s">
        <v>34</v>
      </c>
      <c r="C376" s="25">
        <v>3000</v>
      </c>
      <c r="D376" s="28">
        <v>160</v>
      </c>
      <c r="E376" s="28">
        <v>0.2</v>
      </c>
      <c r="F376" s="3">
        <v>50</v>
      </c>
      <c r="G376" s="28">
        <v>25</v>
      </c>
      <c r="H376" s="28">
        <v>150</v>
      </c>
      <c r="I376" s="28">
        <f t="shared" si="22"/>
        <v>160</v>
      </c>
      <c r="J376" s="28">
        <f t="shared" si="23"/>
        <v>160</v>
      </c>
      <c r="K376" s="29">
        <f t="shared" si="24"/>
        <v>295</v>
      </c>
      <c r="L376" s="24">
        <v>30000</v>
      </c>
      <c r="M376" s="3">
        <v>42000</v>
      </c>
      <c r="N376" s="28">
        <v>100</v>
      </c>
      <c r="P376" s="25" t="s">
        <v>426</v>
      </c>
    </row>
    <row r="377" spans="1:16" s="20" customFormat="1" x14ac:dyDescent="0.25">
      <c r="A377" s="20" t="s">
        <v>27</v>
      </c>
      <c r="B377" s="20" t="s">
        <v>35</v>
      </c>
      <c r="C377" s="20">
        <v>5000</v>
      </c>
      <c r="D377" s="20">
        <v>6</v>
      </c>
      <c r="E377" s="20">
        <f>AVERAGE(0.15,0.12)</f>
        <v>0.13500000000000001</v>
      </c>
      <c r="F377" s="20">
        <v>65</v>
      </c>
      <c r="G377" s="20">
        <v>25</v>
      </c>
      <c r="H377" s="20">
        <v>150</v>
      </c>
      <c r="I377" s="20">
        <f t="shared" si="22"/>
        <v>6</v>
      </c>
      <c r="J377" s="20">
        <f t="shared" si="23"/>
        <v>6</v>
      </c>
      <c r="K377" s="157">
        <f t="shared" ref="K377:K380" si="25">160+D377</f>
        <v>166</v>
      </c>
      <c r="L377" s="157">
        <v>50000</v>
      </c>
      <c r="M377" s="157">
        <v>74000</v>
      </c>
      <c r="N377" s="20">
        <v>125</v>
      </c>
      <c r="P377" s="20" t="s">
        <v>937</v>
      </c>
    </row>
    <row r="378" spans="1:16" s="20" customFormat="1" x14ac:dyDescent="0.25">
      <c r="A378" s="20" t="s">
        <v>27</v>
      </c>
      <c r="B378" s="20" t="s">
        <v>35</v>
      </c>
      <c r="C378" s="20">
        <v>5000</v>
      </c>
      <c r="D378" s="158">
        <v>7</v>
      </c>
      <c r="E378" s="20">
        <f t="shared" ref="E378:E380" si="26">AVERAGE(0.15,0.12)</f>
        <v>0.13500000000000001</v>
      </c>
      <c r="F378" s="20">
        <v>65</v>
      </c>
      <c r="G378" s="20">
        <v>25</v>
      </c>
      <c r="H378" s="20">
        <v>150</v>
      </c>
      <c r="I378" s="20">
        <f t="shared" si="22"/>
        <v>7</v>
      </c>
      <c r="J378" s="20">
        <f t="shared" si="23"/>
        <v>7</v>
      </c>
      <c r="K378" s="157">
        <f t="shared" si="25"/>
        <v>167</v>
      </c>
      <c r="L378" s="157">
        <v>50000</v>
      </c>
      <c r="M378" s="157">
        <v>74000</v>
      </c>
      <c r="N378" s="20">
        <v>125</v>
      </c>
      <c r="P378" s="20" t="s">
        <v>938</v>
      </c>
    </row>
    <row r="379" spans="1:16" s="20" customFormat="1" x14ac:dyDescent="0.25">
      <c r="A379" s="20" t="s">
        <v>27</v>
      </c>
      <c r="B379" s="20" t="s">
        <v>35</v>
      </c>
      <c r="C379" s="20">
        <v>5000</v>
      </c>
      <c r="D379" s="158">
        <v>8</v>
      </c>
      <c r="E379" s="20">
        <f t="shared" si="26"/>
        <v>0.13500000000000001</v>
      </c>
      <c r="F379" s="20">
        <v>65</v>
      </c>
      <c r="G379" s="20">
        <v>25</v>
      </c>
      <c r="H379" s="20">
        <v>150</v>
      </c>
      <c r="I379" s="20">
        <f t="shared" si="22"/>
        <v>8</v>
      </c>
      <c r="J379" s="20">
        <f t="shared" si="23"/>
        <v>8</v>
      </c>
      <c r="K379" s="157">
        <f t="shared" si="25"/>
        <v>168</v>
      </c>
      <c r="L379" s="157">
        <v>50000</v>
      </c>
      <c r="M379" s="157">
        <v>74000</v>
      </c>
      <c r="N379" s="20">
        <v>125</v>
      </c>
      <c r="P379" s="20" t="s">
        <v>939</v>
      </c>
    </row>
    <row r="380" spans="1:16" s="20" customFormat="1" x14ac:dyDescent="0.25">
      <c r="A380" s="20" t="s">
        <v>27</v>
      </c>
      <c r="B380" s="20" t="s">
        <v>35</v>
      </c>
      <c r="C380" s="20">
        <v>5000</v>
      </c>
      <c r="D380" s="20">
        <v>9</v>
      </c>
      <c r="E380" s="20">
        <f t="shared" si="26"/>
        <v>0.13500000000000001</v>
      </c>
      <c r="F380" s="20">
        <v>65</v>
      </c>
      <c r="G380" s="20">
        <v>25</v>
      </c>
      <c r="H380" s="20">
        <v>150</v>
      </c>
      <c r="I380" s="20">
        <f t="shared" si="22"/>
        <v>9</v>
      </c>
      <c r="J380" s="20">
        <f t="shared" si="23"/>
        <v>9</v>
      </c>
      <c r="K380" s="157">
        <f t="shared" si="25"/>
        <v>169</v>
      </c>
      <c r="L380" s="157">
        <v>50000</v>
      </c>
      <c r="M380" s="157">
        <v>74000</v>
      </c>
      <c r="N380" s="20">
        <v>125</v>
      </c>
      <c r="P380" s="20" t="s">
        <v>940</v>
      </c>
    </row>
    <row r="381" spans="1:16" s="25" customFormat="1" x14ac:dyDescent="0.25">
      <c r="A381" s="25" t="s">
        <v>27</v>
      </c>
      <c r="B381" s="25" t="s">
        <v>35</v>
      </c>
      <c r="C381" s="25">
        <v>5000</v>
      </c>
      <c r="D381" s="25">
        <v>10</v>
      </c>
      <c r="E381" s="25">
        <f>AVERAGE(0.15,0.12)</f>
        <v>0.13500000000000001</v>
      </c>
      <c r="F381" s="25">
        <v>65</v>
      </c>
      <c r="G381" s="25">
        <v>25</v>
      </c>
      <c r="H381" s="25">
        <v>150</v>
      </c>
      <c r="I381" s="25">
        <f t="shared" si="22"/>
        <v>10</v>
      </c>
      <c r="J381" s="25">
        <f t="shared" si="23"/>
        <v>10</v>
      </c>
      <c r="K381" s="27">
        <f>160+D381</f>
        <v>170</v>
      </c>
      <c r="L381" s="27">
        <v>50000</v>
      </c>
      <c r="M381" s="27">
        <v>74000</v>
      </c>
      <c r="N381" s="28">
        <v>125</v>
      </c>
      <c r="P381" s="25" t="s">
        <v>427</v>
      </c>
    </row>
    <row r="382" spans="1:16" s="25" customFormat="1" x14ac:dyDescent="0.25">
      <c r="A382" s="25" t="s">
        <v>27</v>
      </c>
      <c r="B382" s="25" t="s">
        <v>35</v>
      </c>
      <c r="C382" s="25">
        <v>5000</v>
      </c>
      <c r="D382" s="26">
        <v>11</v>
      </c>
      <c r="E382" s="25">
        <f t="shared" ref="E382:E445" si="27">AVERAGE(0.15,0.12)</f>
        <v>0.13500000000000001</v>
      </c>
      <c r="F382" s="25">
        <v>65</v>
      </c>
      <c r="G382" s="25">
        <v>25</v>
      </c>
      <c r="H382" s="25">
        <v>150</v>
      </c>
      <c r="I382" s="25">
        <f t="shared" si="22"/>
        <v>11</v>
      </c>
      <c r="J382" s="25">
        <f t="shared" si="23"/>
        <v>11</v>
      </c>
      <c r="K382" s="27">
        <f t="shared" ref="K382:K445" si="28">160+D382</f>
        <v>171</v>
      </c>
      <c r="L382" s="27">
        <v>50000</v>
      </c>
      <c r="M382" s="27">
        <v>74000</v>
      </c>
      <c r="N382" s="28">
        <v>125</v>
      </c>
      <c r="P382" s="25" t="s">
        <v>428</v>
      </c>
    </row>
    <row r="383" spans="1:16" s="25" customFormat="1" x14ac:dyDescent="0.25">
      <c r="A383" s="25" t="s">
        <v>27</v>
      </c>
      <c r="B383" s="25" t="s">
        <v>35</v>
      </c>
      <c r="C383" s="25">
        <v>5000</v>
      </c>
      <c r="D383" s="26">
        <v>12</v>
      </c>
      <c r="E383" s="25">
        <f t="shared" si="27"/>
        <v>0.13500000000000001</v>
      </c>
      <c r="F383" s="25">
        <v>65</v>
      </c>
      <c r="G383" s="25">
        <v>25</v>
      </c>
      <c r="H383" s="25">
        <v>150</v>
      </c>
      <c r="I383" s="25">
        <f t="shared" si="22"/>
        <v>12</v>
      </c>
      <c r="J383" s="25">
        <f t="shared" si="23"/>
        <v>12</v>
      </c>
      <c r="K383" s="27">
        <f t="shared" si="28"/>
        <v>172</v>
      </c>
      <c r="L383" s="27">
        <v>50000</v>
      </c>
      <c r="M383" s="27">
        <v>74000</v>
      </c>
      <c r="N383" s="28">
        <v>125</v>
      </c>
      <c r="P383" s="25" t="s">
        <v>429</v>
      </c>
    </row>
    <row r="384" spans="1:16" s="25" customFormat="1" x14ac:dyDescent="0.25">
      <c r="A384" s="25" t="s">
        <v>27</v>
      </c>
      <c r="B384" s="25" t="s">
        <v>35</v>
      </c>
      <c r="C384" s="25">
        <v>5000</v>
      </c>
      <c r="D384" s="25">
        <v>13</v>
      </c>
      <c r="E384" s="25">
        <f t="shared" si="27"/>
        <v>0.13500000000000001</v>
      </c>
      <c r="F384" s="25">
        <v>65</v>
      </c>
      <c r="G384" s="25">
        <v>25</v>
      </c>
      <c r="H384" s="25">
        <v>150</v>
      </c>
      <c r="I384" s="25">
        <f t="shared" si="22"/>
        <v>13</v>
      </c>
      <c r="J384" s="25">
        <f t="shared" si="23"/>
        <v>13</v>
      </c>
      <c r="K384" s="27">
        <f t="shared" si="28"/>
        <v>173</v>
      </c>
      <c r="L384" s="27">
        <v>50000</v>
      </c>
      <c r="M384" s="27">
        <v>74000</v>
      </c>
      <c r="N384" s="28">
        <v>125</v>
      </c>
      <c r="P384" s="25" t="s">
        <v>430</v>
      </c>
    </row>
    <row r="385" spans="1:16" s="25" customFormat="1" x14ac:dyDescent="0.25">
      <c r="A385" s="25" t="s">
        <v>27</v>
      </c>
      <c r="B385" s="25" t="s">
        <v>35</v>
      </c>
      <c r="C385" s="25">
        <v>5000</v>
      </c>
      <c r="D385" s="26">
        <v>14</v>
      </c>
      <c r="E385" s="25">
        <f t="shared" si="27"/>
        <v>0.13500000000000001</v>
      </c>
      <c r="F385" s="25">
        <v>65</v>
      </c>
      <c r="G385" s="25">
        <v>25</v>
      </c>
      <c r="H385" s="25">
        <v>150</v>
      </c>
      <c r="I385" s="25">
        <f t="shared" si="22"/>
        <v>14</v>
      </c>
      <c r="J385" s="25">
        <f t="shared" si="23"/>
        <v>14</v>
      </c>
      <c r="K385" s="27">
        <f t="shared" si="28"/>
        <v>174</v>
      </c>
      <c r="L385" s="27">
        <v>50000</v>
      </c>
      <c r="M385" s="27">
        <v>74000</v>
      </c>
      <c r="N385" s="28">
        <v>125</v>
      </c>
      <c r="P385" s="25" t="s">
        <v>431</v>
      </c>
    </row>
    <row r="386" spans="1:16" s="25" customFormat="1" x14ac:dyDescent="0.25">
      <c r="A386" s="25" t="s">
        <v>27</v>
      </c>
      <c r="B386" s="25" t="s">
        <v>35</v>
      </c>
      <c r="C386" s="25">
        <v>5000</v>
      </c>
      <c r="D386" s="26">
        <v>15</v>
      </c>
      <c r="E386" s="25">
        <f t="shared" si="27"/>
        <v>0.13500000000000001</v>
      </c>
      <c r="F386" s="25">
        <v>65</v>
      </c>
      <c r="G386" s="25">
        <v>25</v>
      </c>
      <c r="H386" s="25">
        <v>150</v>
      </c>
      <c r="I386" s="25">
        <f t="shared" si="22"/>
        <v>15</v>
      </c>
      <c r="J386" s="25">
        <f t="shared" si="23"/>
        <v>15</v>
      </c>
      <c r="K386" s="27">
        <f t="shared" si="28"/>
        <v>175</v>
      </c>
      <c r="L386" s="27">
        <v>50000</v>
      </c>
      <c r="M386" s="27">
        <v>74000</v>
      </c>
      <c r="N386" s="28">
        <v>125</v>
      </c>
      <c r="P386" s="25" t="s">
        <v>432</v>
      </c>
    </row>
    <row r="387" spans="1:16" s="25" customFormat="1" x14ac:dyDescent="0.25">
      <c r="A387" s="25" t="s">
        <v>27</v>
      </c>
      <c r="B387" s="25" t="s">
        <v>35</v>
      </c>
      <c r="C387" s="25">
        <v>5000</v>
      </c>
      <c r="D387" s="25">
        <v>16</v>
      </c>
      <c r="E387" s="25">
        <f t="shared" si="27"/>
        <v>0.13500000000000001</v>
      </c>
      <c r="F387" s="25">
        <v>65</v>
      </c>
      <c r="G387" s="25">
        <v>25</v>
      </c>
      <c r="H387" s="25">
        <v>150</v>
      </c>
      <c r="I387" s="25">
        <f t="shared" si="22"/>
        <v>16</v>
      </c>
      <c r="J387" s="25">
        <f t="shared" si="23"/>
        <v>16</v>
      </c>
      <c r="K387" s="27">
        <f t="shared" si="28"/>
        <v>176</v>
      </c>
      <c r="L387" s="27">
        <v>50000</v>
      </c>
      <c r="M387" s="27">
        <v>74000</v>
      </c>
      <c r="N387" s="28">
        <v>125</v>
      </c>
      <c r="P387" s="25" t="s">
        <v>433</v>
      </c>
    </row>
    <row r="388" spans="1:16" s="25" customFormat="1" x14ac:dyDescent="0.25">
      <c r="A388" s="25" t="s">
        <v>27</v>
      </c>
      <c r="B388" s="25" t="s">
        <v>35</v>
      </c>
      <c r="C388" s="25">
        <v>5000</v>
      </c>
      <c r="D388" s="26">
        <v>17</v>
      </c>
      <c r="E388" s="25">
        <f t="shared" si="27"/>
        <v>0.13500000000000001</v>
      </c>
      <c r="F388" s="25">
        <v>65</v>
      </c>
      <c r="G388" s="25">
        <v>25</v>
      </c>
      <c r="H388" s="25">
        <v>150</v>
      </c>
      <c r="I388" s="25">
        <f t="shared" si="22"/>
        <v>17</v>
      </c>
      <c r="J388" s="25">
        <f t="shared" si="23"/>
        <v>17</v>
      </c>
      <c r="K388" s="27">
        <f t="shared" si="28"/>
        <v>177</v>
      </c>
      <c r="L388" s="27">
        <v>50000</v>
      </c>
      <c r="M388" s="27">
        <v>74000</v>
      </c>
      <c r="N388" s="28">
        <v>125</v>
      </c>
      <c r="P388" s="25" t="s">
        <v>434</v>
      </c>
    </row>
    <row r="389" spans="1:16" s="25" customFormat="1" x14ac:dyDescent="0.25">
      <c r="A389" s="25" t="s">
        <v>27</v>
      </c>
      <c r="B389" s="25" t="s">
        <v>35</v>
      </c>
      <c r="C389" s="25">
        <v>5000</v>
      </c>
      <c r="D389" s="26">
        <v>18</v>
      </c>
      <c r="E389" s="25">
        <f t="shared" si="27"/>
        <v>0.13500000000000001</v>
      </c>
      <c r="F389" s="25">
        <v>65</v>
      </c>
      <c r="G389" s="25">
        <v>25</v>
      </c>
      <c r="H389" s="25">
        <v>150</v>
      </c>
      <c r="I389" s="25">
        <f t="shared" si="22"/>
        <v>18</v>
      </c>
      <c r="J389" s="25">
        <f t="shared" si="23"/>
        <v>18</v>
      </c>
      <c r="K389" s="27">
        <f t="shared" si="28"/>
        <v>178</v>
      </c>
      <c r="L389" s="27">
        <v>50000</v>
      </c>
      <c r="M389" s="27">
        <v>74000</v>
      </c>
      <c r="N389" s="28">
        <v>125</v>
      </c>
      <c r="P389" s="25" t="s">
        <v>435</v>
      </c>
    </row>
    <row r="390" spans="1:16" s="25" customFormat="1" x14ac:dyDescent="0.25">
      <c r="A390" s="25" t="s">
        <v>27</v>
      </c>
      <c r="B390" s="25" t="s">
        <v>35</v>
      </c>
      <c r="C390" s="25">
        <v>5000</v>
      </c>
      <c r="D390" s="25">
        <v>19</v>
      </c>
      <c r="E390" s="25">
        <f t="shared" si="27"/>
        <v>0.13500000000000001</v>
      </c>
      <c r="F390" s="25">
        <v>65</v>
      </c>
      <c r="G390" s="25">
        <v>25</v>
      </c>
      <c r="H390" s="25">
        <v>150</v>
      </c>
      <c r="I390" s="25">
        <f t="shared" si="22"/>
        <v>19</v>
      </c>
      <c r="J390" s="25">
        <f t="shared" si="23"/>
        <v>19</v>
      </c>
      <c r="K390" s="27">
        <f t="shared" si="28"/>
        <v>179</v>
      </c>
      <c r="L390" s="27">
        <v>50000</v>
      </c>
      <c r="M390" s="27">
        <v>74000</v>
      </c>
      <c r="N390" s="28">
        <v>125</v>
      </c>
      <c r="P390" s="25" t="s">
        <v>436</v>
      </c>
    </row>
    <row r="391" spans="1:16" s="25" customFormat="1" x14ac:dyDescent="0.25">
      <c r="A391" s="25" t="s">
        <v>27</v>
      </c>
      <c r="B391" s="25" t="s">
        <v>35</v>
      </c>
      <c r="C391" s="25">
        <v>5000</v>
      </c>
      <c r="D391" s="26">
        <v>20</v>
      </c>
      <c r="E391" s="25">
        <f t="shared" si="27"/>
        <v>0.13500000000000001</v>
      </c>
      <c r="F391" s="25">
        <v>65</v>
      </c>
      <c r="G391" s="25">
        <v>25</v>
      </c>
      <c r="H391" s="25">
        <v>150</v>
      </c>
      <c r="I391" s="25">
        <f t="shared" si="22"/>
        <v>20</v>
      </c>
      <c r="J391" s="25">
        <f t="shared" si="23"/>
        <v>20</v>
      </c>
      <c r="K391" s="27">
        <f t="shared" si="28"/>
        <v>180</v>
      </c>
      <c r="L391" s="27">
        <v>50000</v>
      </c>
      <c r="M391" s="27">
        <v>74000</v>
      </c>
      <c r="N391" s="28">
        <v>125</v>
      </c>
      <c r="P391" s="25" t="s">
        <v>437</v>
      </c>
    </row>
    <row r="392" spans="1:16" s="25" customFormat="1" x14ac:dyDescent="0.25">
      <c r="A392" s="25" t="s">
        <v>27</v>
      </c>
      <c r="B392" s="25" t="s">
        <v>35</v>
      </c>
      <c r="C392" s="25">
        <v>5000</v>
      </c>
      <c r="D392" s="26">
        <v>21</v>
      </c>
      <c r="E392" s="25">
        <f t="shared" si="27"/>
        <v>0.13500000000000001</v>
      </c>
      <c r="F392" s="25">
        <v>65</v>
      </c>
      <c r="G392" s="25">
        <v>25</v>
      </c>
      <c r="H392" s="25">
        <v>150</v>
      </c>
      <c r="I392" s="25">
        <f t="shared" si="22"/>
        <v>21</v>
      </c>
      <c r="J392" s="25">
        <f t="shared" si="23"/>
        <v>21</v>
      </c>
      <c r="K392" s="27">
        <f t="shared" si="28"/>
        <v>181</v>
      </c>
      <c r="L392" s="27">
        <v>50000</v>
      </c>
      <c r="M392" s="27">
        <v>74000</v>
      </c>
      <c r="N392" s="28">
        <v>125</v>
      </c>
      <c r="P392" s="25" t="s">
        <v>438</v>
      </c>
    </row>
    <row r="393" spans="1:16" s="25" customFormat="1" x14ac:dyDescent="0.25">
      <c r="A393" s="25" t="s">
        <v>27</v>
      </c>
      <c r="B393" s="25" t="s">
        <v>35</v>
      </c>
      <c r="C393" s="25">
        <v>5000</v>
      </c>
      <c r="D393" s="25">
        <v>22</v>
      </c>
      <c r="E393" s="25">
        <f t="shared" si="27"/>
        <v>0.13500000000000001</v>
      </c>
      <c r="F393" s="25">
        <v>65</v>
      </c>
      <c r="G393" s="25">
        <v>25</v>
      </c>
      <c r="H393" s="25">
        <v>150</v>
      </c>
      <c r="I393" s="25">
        <f t="shared" si="22"/>
        <v>22</v>
      </c>
      <c r="J393" s="25">
        <f t="shared" si="23"/>
        <v>22</v>
      </c>
      <c r="K393" s="27">
        <f t="shared" si="28"/>
        <v>182</v>
      </c>
      <c r="L393" s="27">
        <v>50000</v>
      </c>
      <c r="M393" s="27">
        <v>74000</v>
      </c>
      <c r="N393" s="28">
        <v>125</v>
      </c>
      <c r="P393" s="25" t="s">
        <v>439</v>
      </c>
    </row>
    <row r="394" spans="1:16" s="25" customFormat="1" x14ac:dyDescent="0.25">
      <c r="A394" s="25" t="s">
        <v>27</v>
      </c>
      <c r="B394" s="25" t="s">
        <v>35</v>
      </c>
      <c r="C394" s="25">
        <v>5000</v>
      </c>
      <c r="D394" s="26">
        <v>23</v>
      </c>
      <c r="E394" s="25">
        <f t="shared" si="27"/>
        <v>0.13500000000000001</v>
      </c>
      <c r="F394" s="25">
        <v>65</v>
      </c>
      <c r="G394" s="25">
        <v>25</v>
      </c>
      <c r="H394" s="25">
        <v>150</v>
      </c>
      <c r="I394" s="25">
        <f t="shared" si="22"/>
        <v>23</v>
      </c>
      <c r="J394" s="25">
        <f t="shared" si="23"/>
        <v>23</v>
      </c>
      <c r="K394" s="27">
        <f t="shared" si="28"/>
        <v>183</v>
      </c>
      <c r="L394" s="27">
        <v>50000</v>
      </c>
      <c r="M394" s="27">
        <v>74000</v>
      </c>
      <c r="N394" s="28">
        <v>125</v>
      </c>
      <c r="P394" s="25" t="s">
        <v>440</v>
      </c>
    </row>
    <row r="395" spans="1:16" s="25" customFormat="1" x14ac:dyDescent="0.25">
      <c r="A395" s="25" t="s">
        <v>27</v>
      </c>
      <c r="B395" s="25" t="s">
        <v>35</v>
      </c>
      <c r="C395" s="25">
        <v>5000</v>
      </c>
      <c r="D395" s="26">
        <v>24</v>
      </c>
      <c r="E395" s="25">
        <f t="shared" si="27"/>
        <v>0.13500000000000001</v>
      </c>
      <c r="F395" s="25">
        <v>65</v>
      </c>
      <c r="G395" s="25">
        <v>25</v>
      </c>
      <c r="H395" s="25">
        <v>150</v>
      </c>
      <c r="I395" s="25">
        <f t="shared" si="22"/>
        <v>24</v>
      </c>
      <c r="J395" s="25">
        <f t="shared" si="23"/>
        <v>24</v>
      </c>
      <c r="K395" s="27">
        <f t="shared" si="28"/>
        <v>184</v>
      </c>
      <c r="L395" s="27">
        <v>50000</v>
      </c>
      <c r="M395" s="27">
        <v>74000</v>
      </c>
      <c r="N395" s="28">
        <v>125</v>
      </c>
      <c r="P395" s="25" t="s">
        <v>441</v>
      </c>
    </row>
    <row r="396" spans="1:16" s="25" customFormat="1" x14ac:dyDescent="0.25">
      <c r="A396" s="25" t="s">
        <v>27</v>
      </c>
      <c r="B396" s="25" t="s">
        <v>35</v>
      </c>
      <c r="C396" s="25">
        <v>5000</v>
      </c>
      <c r="D396" s="25">
        <v>25</v>
      </c>
      <c r="E396" s="25">
        <f t="shared" si="27"/>
        <v>0.13500000000000001</v>
      </c>
      <c r="F396" s="25">
        <v>65</v>
      </c>
      <c r="G396" s="25">
        <v>25</v>
      </c>
      <c r="H396" s="25">
        <v>150</v>
      </c>
      <c r="I396" s="25">
        <f t="shared" si="22"/>
        <v>25</v>
      </c>
      <c r="J396" s="25">
        <f t="shared" si="23"/>
        <v>25</v>
      </c>
      <c r="K396" s="27">
        <f t="shared" si="28"/>
        <v>185</v>
      </c>
      <c r="L396" s="27">
        <v>50000</v>
      </c>
      <c r="M396" s="27">
        <v>74000</v>
      </c>
      <c r="N396" s="28">
        <v>125</v>
      </c>
      <c r="P396" s="25" t="s">
        <v>442</v>
      </c>
    </row>
    <row r="397" spans="1:16" s="25" customFormat="1" x14ac:dyDescent="0.25">
      <c r="A397" s="25" t="s">
        <v>27</v>
      </c>
      <c r="B397" s="25" t="s">
        <v>35</v>
      </c>
      <c r="C397" s="25">
        <v>5000</v>
      </c>
      <c r="D397" s="26">
        <v>26</v>
      </c>
      <c r="E397" s="25">
        <f t="shared" si="27"/>
        <v>0.13500000000000001</v>
      </c>
      <c r="F397" s="25">
        <v>65</v>
      </c>
      <c r="G397" s="25">
        <v>25</v>
      </c>
      <c r="H397" s="25">
        <v>150</v>
      </c>
      <c r="I397" s="25">
        <f t="shared" si="22"/>
        <v>26</v>
      </c>
      <c r="J397" s="25">
        <f t="shared" si="23"/>
        <v>26</v>
      </c>
      <c r="K397" s="27">
        <f t="shared" si="28"/>
        <v>186</v>
      </c>
      <c r="L397" s="27">
        <v>50000</v>
      </c>
      <c r="M397" s="27">
        <v>74000</v>
      </c>
      <c r="N397" s="28">
        <v>125</v>
      </c>
      <c r="P397" s="25" t="s">
        <v>443</v>
      </c>
    </row>
    <row r="398" spans="1:16" s="25" customFormat="1" x14ac:dyDescent="0.25">
      <c r="A398" s="25" t="s">
        <v>27</v>
      </c>
      <c r="B398" s="25" t="s">
        <v>35</v>
      </c>
      <c r="C398" s="25">
        <v>5000</v>
      </c>
      <c r="D398" s="26">
        <v>27</v>
      </c>
      <c r="E398" s="25">
        <f t="shared" si="27"/>
        <v>0.13500000000000001</v>
      </c>
      <c r="F398" s="25">
        <v>65</v>
      </c>
      <c r="G398" s="25">
        <v>25</v>
      </c>
      <c r="H398" s="25">
        <v>150</v>
      </c>
      <c r="I398" s="25">
        <f t="shared" si="22"/>
        <v>27</v>
      </c>
      <c r="J398" s="25">
        <f t="shared" si="23"/>
        <v>27</v>
      </c>
      <c r="K398" s="27">
        <f t="shared" si="28"/>
        <v>187</v>
      </c>
      <c r="L398" s="27">
        <v>50000</v>
      </c>
      <c r="M398" s="27">
        <v>74000</v>
      </c>
      <c r="N398" s="28">
        <v>125</v>
      </c>
      <c r="P398" s="25" t="s">
        <v>444</v>
      </c>
    </row>
    <row r="399" spans="1:16" s="25" customFormat="1" x14ac:dyDescent="0.25">
      <c r="A399" s="25" t="s">
        <v>27</v>
      </c>
      <c r="B399" s="25" t="s">
        <v>35</v>
      </c>
      <c r="C399" s="25">
        <v>5000</v>
      </c>
      <c r="D399" s="25">
        <v>28</v>
      </c>
      <c r="E399" s="25">
        <f t="shared" si="27"/>
        <v>0.13500000000000001</v>
      </c>
      <c r="F399" s="25">
        <v>65</v>
      </c>
      <c r="G399" s="25">
        <v>25</v>
      </c>
      <c r="H399" s="25">
        <v>150</v>
      </c>
      <c r="I399" s="25">
        <f t="shared" si="22"/>
        <v>28</v>
      </c>
      <c r="J399" s="25">
        <f t="shared" si="23"/>
        <v>28</v>
      </c>
      <c r="K399" s="27">
        <f t="shared" si="28"/>
        <v>188</v>
      </c>
      <c r="L399" s="27">
        <v>50000</v>
      </c>
      <c r="M399" s="27">
        <v>74000</v>
      </c>
      <c r="N399" s="28">
        <v>125</v>
      </c>
      <c r="P399" s="25" t="s">
        <v>445</v>
      </c>
    </row>
    <row r="400" spans="1:16" s="25" customFormat="1" x14ac:dyDescent="0.25">
      <c r="A400" s="25" t="s">
        <v>27</v>
      </c>
      <c r="B400" s="25" t="s">
        <v>35</v>
      </c>
      <c r="C400" s="25">
        <v>5000</v>
      </c>
      <c r="D400" s="26">
        <v>29</v>
      </c>
      <c r="E400" s="25">
        <f t="shared" si="27"/>
        <v>0.13500000000000001</v>
      </c>
      <c r="F400" s="25">
        <v>65</v>
      </c>
      <c r="G400" s="25">
        <v>25</v>
      </c>
      <c r="H400" s="25">
        <v>150</v>
      </c>
      <c r="I400" s="25">
        <f t="shared" ref="I400:I463" si="29">D400</f>
        <v>29</v>
      </c>
      <c r="J400" s="25">
        <f t="shared" ref="J400:J463" si="30">D400</f>
        <v>29</v>
      </c>
      <c r="K400" s="27">
        <f t="shared" si="28"/>
        <v>189</v>
      </c>
      <c r="L400" s="27">
        <v>50000</v>
      </c>
      <c r="M400" s="27">
        <v>74000</v>
      </c>
      <c r="N400" s="28">
        <v>125</v>
      </c>
      <c r="P400" s="25" t="s">
        <v>446</v>
      </c>
    </row>
    <row r="401" spans="1:16" s="25" customFormat="1" x14ac:dyDescent="0.25">
      <c r="A401" s="25" t="s">
        <v>27</v>
      </c>
      <c r="B401" s="25" t="s">
        <v>35</v>
      </c>
      <c r="C401" s="25">
        <v>5000</v>
      </c>
      <c r="D401" s="26">
        <v>30</v>
      </c>
      <c r="E401" s="25">
        <f t="shared" si="27"/>
        <v>0.13500000000000001</v>
      </c>
      <c r="F401" s="25">
        <v>65</v>
      </c>
      <c r="G401" s="25">
        <v>25</v>
      </c>
      <c r="H401" s="25">
        <v>150</v>
      </c>
      <c r="I401" s="25">
        <f t="shared" si="29"/>
        <v>30</v>
      </c>
      <c r="J401" s="25">
        <f t="shared" si="30"/>
        <v>30</v>
      </c>
      <c r="K401" s="27">
        <f t="shared" si="28"/>
        <v>190</v>
      </c>
      <c r="L401" s="27">
        <v>50000</v>
      </c>
      <c r="M401" s="27">
        <v>74000</v>
      </c>
      <c r="N401" s="28">
        <v>125</v>
      </c>
      <c r="P401" s="25" t="s">
        <v>447</v>
      </c>
    </row>
    <row r="402" spans="1:16" s="25" customFormat="1" x14ac:dyDescent="0.25">
      <c r="A402" s="25" t="s">
        <v>27</v>
      </c>
      <c r="B402" s="25" t="s">
        <v>35</v>
      </c>
      <c r="C402" s="25">
        <v>5000</v>
      </c>
      <c r="D402" s="25">
        <v>31</v>
      </c>
      <c r="E402" s="25">
        <f t="shared" si="27"/>
        <v>0.13500000000000001</v>
      </c>
      <c r="F402" s="25">
        <v>65</v>
      </c>
      <c r="G402" s="25">
        <v>25</v>
      </c>
      <c r="H402" s="25">
        <v>150</v>
      </c>
      <c r="I402" s="25">
        <f t="shared" si="29"/>
        <v>31</v>
      </c>
      <c r="J402" s="25">
        <f t="shared" si="30"/>
        <v>31</v>
      </c>
      <c r="K402" s="27">
        <f t="shared" si="28"/>
        <v>191</v>
      </c>
      <c r="L402" s="27">
        <v>50000</v>
      </c>
      <c r="M402" s="27">
        <v>74000</v>
      </c>
      <c r="N402" s="28">
        <v>125</v>
      </c>
      <c r="P402" s="25" t="s">
        <v>448</v>
      </c>
    </row>
    <row r="403" spans="1:16" s="25" customFormat="1" x14ac:dyDescent="0.25">
      <c r="A403" s="25" t="s">
        <v>27</v>
      </c>
      <c r="B403" s="25" t="s">
        <v>35</v>
      </c>
      <c r="C403" s="25">
        <v>5000</v>
      </c>
      <c r="D403" s="26">
        <v>32</v>
      </c>
      <c r="E403" s="25">
        <f t="shared" si="27"/>
        <v>0.13500000000000001</v>
      </c>
      <c r="F403" s="25">
        <v>65</v>
      </c>
      <c r="G403" s="25">
        <v>25</v>
      </c>
      <c r="H403" s="25">
        <v>150</v>
      </c>
      <c r="I403" s="25">
        <f t="shared" si="29"/>
        <v>32</v>
      </c>
      <c r="J403" s="25">
        <f t="shared" si="30"/>
        <v>32</v>
      </c>
      <c r="K403" s="27">
        <f t="shared" si="28"/>
        <v>192</v>
      </c>
      <c r="L403" s="27">
        <v>50000</v>
      </c>
      <c r="M403" s="27">
        <v>74000</v>
      </c>
      <c r="N403" s="28">
        <v>125</v>
      </c>
      <c r="P403" s="25" t="s">
        <v>449</v>
      </c>
    </row>
    <row r="404" spans="1:16" s="25" customFormat="1" x14ac:dyDescent="0.25">
      <c r="A404" s="25" t="s">
        <v>27</v>
      </c>
      <c r="B404" s="25" t="s">
        <v>35</v>
      </c>
      <c r="C404" s="25">
        <v>5000</v>
      </c>
      <c r="D404" s="26">
        <v>33</v>
      </c>
      <c r="E404" s="25">
        <f t="shared" si="27"/>
        <v>0.13500000000000001</v>
      </c>
      <c r="F404" s="25">
        <v>65</v>
      </c>
      <c r="G404" s="25">
        <v>25</v>
      </c>
      <c r="H404" s="25">
        <v>150</v>
      </c>
      <c r="I404" s="25">
        <f t="shared" si="29"/>
        <v>33</v>
      </c>
      <c r="J404" s="25">
        <f t="shared" si="30"/>
        <v>33</v>
      </c>
      <c r="K404" s="27">
        <f t="shared" si="28"/>
        <v>193</v>
      </c>
      <c r="L404" s="27">
        <v>50000</v>
      </c>
      <c r="M404" s="27">
        <v>74000</v>
      </c>
      <c r="N404" s="28">
        <v>125</v>
      </c>
      <c r="P404" s="25" t="s">
        <v>450</v>
      </c>
    </row>
    <row r="405" spans="1:16" s="25" customFormat="1" x14ac:dyDescent="0.25">
      <c r="A405" s="25" t="s">
        <v>27</v>
      </c>
      <c r="B405" s="25" t="s">
        <v>35</v>
      </c>
      <c r="C405" s="25">
        <v>5000</v>
      </c>
      <c r="D405" s="25">
        <v>34</v>
      </c>
      <c r="E405" s="25">
        <f t="shared" si="27"/>
        <v>0.13500000000000001</v>
      </c>
      <c r="F405" s="25">
        <v>65</v>
      </c>
      <c r="G405" s="25">
        <v>25</v>
      </c>
      <c r="H405" s="25">
        <v>150</v>
      </c>
      <c r="I405" s="25">
        <f t="shared" si="29"/>
        <v>34</v>
      </c>
      <c r="J405" s="25">
        <f t="shared" si="30"/>
        <v>34</v>
      </c>
      <c r="K405" s="27">
        <f t="shared" si="28"/>
        <v>194</v>
      </c>
      <c r="L405" s="27">
        <v>50000</v>
      </c>
      <c r="M405" s="27">
        <v>74000</v>
      </c>
      <c r="N405" s="28">
        <v>125</v>
      </c>
      <c r="P405" s="25" t="s">
        <v>451</v>
      </c>
    </row>
    <row r="406" spans="1:16" s="25" customFormat="1" x14ac:dyDescent="0.25">
      <c r="A406" s="25" t="s">
        <v>27</v>
      </c>
      <c r="B406" s="25" t="s">
        <v>35</v>
      </c>
      <c r="C406" s="25">
        <v>5000</v>
      </c>
      <c r="D406" s="26">
        <v>35</v>
      </c>
      <c r="E406" s="25">
        <f t="shared" si="27"/>
        <v>0.13500000000000001</v>
      </c>
      <c r="F406" s="25">
        <v>65</v>
      </c>
      <c r="G406" s="25">
        <v>25</v>
      </c>
      <c r="H406" s="25">
        <v>150</v>
      </c>
      <c r="I406" s="25">
        <f t="shared" si="29"/>
        <v>35</v>
      </c>
      <c r="J406" s="25">
        <f t="shared" si="30"/>
        <v>35</v>
      </c>
      <c r="K406" s="27">
        <f t="shared" si="28"/>
        <v>195</v>
      </c>
      <c r="L406" s="27">
        <v>50000</v>
      </c>
      <c r="M406" s="27">
        <v>74000</v>
      </c>
      <c r="N406" s="28">
        <v>125</v>
      </c>
      <c r="P406" s="25" t="s">
        <v>452</v>
      </c>
    </row>
    <row r="407" spans="1:16" s="25" customFormat="1" x14ac:dyDescent="0.25">
      <c r="A407" s="25" t="s">
        <v>27</v>
      </c>
      <c r="B407" s="25" t="s">
        <v>35</v>
      </c>
      <c r="C407" s="25">
        <v>5000</v>
      </c>
      <c r="D407" s="26">
        <v>36</v>
      </c>
      <c r="E407" s="25">
        <f t="shared" si="27"/>
        <v>0.13500000000000001</v>
      </c>
      <c r="F407" s="25">
        <v>65</v>
      </c>
      <c r="G407" s="25">
        <v>25</v>
      </c>
      <c r="H407" s="25">
        <v>150</v>
      </c>
      <c r="I407" s="25">
        <f t="shared" si="29"/>
        <v>36</v>
      </c>
      <c r="J407" s="25">
        <f t="shared" si="30"/>
        <v>36</v>
      </c>
      <c r="K407" s="27">
        <f t="shared" si="28"/>
        <v>196</v>
      </c>
      <c r="L407" s="27">
        <v>50000</v>
      </c>
      <c r="M407" s="27">
        <v>74000</v>
      </c>
      <c r="N407" s="28">
        <v>125</v>
      </c>
      <c r="P407" s="25" t="s">
        <v>453</v>
      </c>
    </row>
    <row r="408" spans="1:16" s="25" customFormat="1" x14ac:dyDescent="0.25">
      <c r="A408" s="25" t="s">
        <v>27</v>
      </c>
      <c r="B408" s="25" t="s">
        <v>35</v>
      </c>
      <c r="C408" s="25">
        <v>5000</v>
      </c>
      <c r="D408" s="25">
        <v>37</v>
      </c>
      <c r="E408" s="25">
        <f t="shared" si="27"/>
        <v>0.13500000000000001</v>
      </c>
      <c r="F408" s="25">
        <v>65</v>
      </c>
      <c r="G408" s="25">
        <v>25</v>
      </c>
      <c r="H408" s="25">
        <v>150</v>
      </c>
      <c r="I408" s="25">
        <f t="shared" si="29"/>
        <v>37</v>
      </c>
      <c r="J408" s="25">
        <f t="shared" si="30"/>
        <v>37</v>
      </c>
      <c r="K408" s="27">
        <f t="shared" si="28"/>
        <v>197</v>
      </c>
      <c r="L408" s="27">
        <v>50000</v>
      </c>
      <c r="M408" s="27">
        <v>74000</v>
      </c>
      <c r="N408" s="28">
        <v>125</v>
      </c>
      <c r="P408" s="25" t="s">
        <v>454</v>
      </c>
    </row>
    <row r="409" spans="1:16" s="25" customFormat="1" x14ac:dyDescent="0.25">
      <c r="A409" s="25" t="s">
        <v>27</v>
      </c>
      <c r="B409" s="25" t="s">
        <v>35</v>
      </c>
      <c r="C409" s="25">
        <v>5000</v>
      </c>
      <c r="D409" s="26">
        <v>38</v>
      </c>
      <c r="E409" s="25">
        <f t="shared" si="27"/>
        <v>0.13500000000000001</v>
      </c>
      <c r="F409" s="25">
        <v>65</v>
      </c>
      <c r="G409" s="25">
        <v>25</v>
      </c>
      <c r="H409" s="25">
        <v>150</v>
      </c>
      <c r="I409" s="25">
        <f t="shared" si="29"/>
        <v>38</v>
      </c>
      <c r="J409" s="25">
        <f t="shared" si="30"/>
        <v>38</v>
      </c>
      <c r="K409" s="27">
        <f t="shared" si="28"/>
        <v>198</v>
      </c>
      <c r="L409" s="27">
        <v>50000</v>
      </c>
      <c r="M409" s="27">
        <v>74000</v>
      </c>
      <c r="N409" s="28">
        <v>125</v>
      </c>
      <c r="P409" s="25" t="s">
        <v>455</v>
      </c>
    </row>
    <row r="410" spans="1:16" s="25" customFormat="1" x14ac:dyDescent="0.25">
      <c r="A410" s="25" t="s">
        <v>27</v>
      </c>
      <c r="B410" s="25" t="s">
        <v>35</v>
      </c>
      <c r="C410" s="25">
        <v>5000</v>
      </c>
      <c r="D410" s="26">
        <v>39</v>
      </c>
      <c r="E410" s="25">
        <f t="shared" si="27"/>
        <v>0.13500000000000001</v>
      </c>
      <c r="F410" s="25">
        <v>65</v>
      </c>
      <c r="G410" s="25">
        <v>25</v>
      </c>
      <c r="H410" s="25">
        <v>150</v>
      </c>
      <c r="I410" s="25">
        <f t="shared" si="29"/>
        <v>39</v>
      </c>
      <c r="J410" s="25">
        <f t="shared" si="30"/>
        <v>39</v>
      </c>
      <c r="K410" s="27">
        <f t="shared" si="28"/>
        <v>199</v>
      </c>
      <c r="L410" s="27">
        <v>50000</v>
      </c>
      <c r="M410" s="27">
        <v>74000</v>
      </c>
      <c r="N410" s="28">
        <v>125</v>
      </c>
      <c r="P410" s="25" t="s">
        <v>456</v>
      </c>
    </row>
    <row r="411" spans="1:16" s="25" customFormat="1" x14ac:dyDescent="0.25">
      <c r="A411" s="25" t="s">
        <v>27</v>
      </c>
      <c r="B411" s="25" t="s">
        <v>35</v>
      </c>
      <c r="C411" s="25">
        <v>5000</v>
      </c>
      <c r="D411" s="25">
        <v>40</v>
      </c>
      <c r="E411" s="25">
        <f t="shared" si="27"/>
        <v>0.13500000000000001</v>
      </c>
      <c r="F411" s="25">
        <v>65</v>
      </c>
      <c r="G411" s="25">
        <v>25</v>
      </c>
      <c r="H411" s="25">
        <v>150</v>
      </c>
      <c r="I411" s="25">
        <f t="shared" si="29"/>
        <v>40</v>
      </c>
      <c r="J411" s="25">
        <f t="shared" si="30"/>
        <v>40</v>
      </c>
      <c r="K411" s="27">
        <f t="shared" si="28"/>
        <v>200</v>
      </c>
      <c r="L411" s="27">
        <v>50000</v>
      </c>
      <c r="M411" s="27">
        <v>74000</v>
      </c>
      <c r="N411" s="28">
        <v>125</v>
      </c>
      <c r="P411" s="25" t="s">
        <v>457</v>
      </c>
    </row>
    <row r="412" spans="1:16" s="25" customFormat="1" x14ac:dyDescent="0.25">
      <c r="A412" s="25" t="s">
        <v>27</v>
      </c>
      <c r="B412" s="25" t="s">
        <v>35</v>
      </c>
      <c r="C412" s="25">
        <v>5000</v>
      </c>
      <c r="D412" s="26">
        <v>41</v>
      </c>
      <c r="E412" s="25">
        <f t="shared" si="27"/>
        <v>0.13500000000000001</v>
      </c>
      <c r="F412" s="25">
        <v>65</v>
      </c>
      <c r="G412" s="25">
        <v>25</v>
      </c>
      <c r="H412" s="25">
        <v>150</v>
      </c>
      <c r="I412" s="25">
        <f t="shared" si="29"/>
        <v>41</v>
      </c>
      <c r="J412" s="25">
        <f t="shared" si="30"/>
        <v>41</v>
      </c>
      <c r="K412" s="27">
        <f t="shared" si="28"/>
        <v>201</v>
      </c>
      <c r="L412" s="27">
        <v>50000</v>
      </c>
      <c r="M412" s="27">
        <v>74000</v>
      </c>
      <c r="N412" s="28">
        <v>125</v>
      </c>
      <c r="P412" s="25" t="s">
        <v>458</v>
      </c>
    </row>
    <row r="413" spans="1:16" s="25" customFormat="1" x14ac:dyDescent="0.25">
      <c r="A413" s="25" t="s">
        <v>27</v>
      </c>
      <c r="B413" s="25" t="s">
        <v>35</v>
      </c>
      <c r="C413" s="25">
        <v>5000</v>
      </c>
      <c r="D413" s="26">
        <v>42</v>
      </c>
      <c r="E413" s="25">
        <f t="shared" si="27"/>
        <v>0.13500000000000001</v>
      </c>
      <c r="F413" s="25">
        <v>65</v>
      </c>
      <c r="G413" s="25">
        <v>25</v>
      </c>
      <c r="H413" s="25">
        <v>150</v>
      </c>
      <c r="I413" s="25">
        <f t="shared" si="29"/>
        <v>42</v>
      </c>
      <c r="J413" s="25">
        <f t="shared" si="30"/>
        <v>42</v>
      </c>
      <c r="K413" s="27">
        <f t="shared" si="28"/>
        <v>202</v>
      </c>
      <c r="L413" s="27">
        <v>50000</v>
      </c>
      <c r="M413" s="27">
        <v>74000</v>
      </c>
      <c r="N413" s="28">
        <v>125</v>
      </c>
      <c r="P413" s="25" t="s">
        <v>459</v>
      </c>
    </row>
    <row r="414" spans="1:16" s="25" customFormat="1" x14ac:dyDescent="0.25">
      <c r="A414" s="25" t="s">
        <v>27</v>
      </c>
      <c r="B414" s="25" t="s">
        <v>35</v>
      </c>
      <c r="C414" s="25">
        <v>5000</v>
      </c>
      <c r="D414" s="25">
        <v>43</v>
      </c>
      <c r="E414" s="25">
        <f t="shared" si="27"/>
        <v>0.13500000000000001</v>
      </c>
      <c r="F414" s="25">
        <v>65</v>
      </c>
      <c r="G414" s="25">
        <v>25</v>
      </c>
      <c r="H414" s="25">
        <v>150</v>
      </c>
      <c r="I414" s="25">
        <f t="shared" si="29"/>
        <v>43</v>
      </c>
      <c r="J414" s="25">
        <f t="shared" si="30"/>
        <v>43</v>
      </c>
      <c r="K414" s="27">
        <f t="shared" si="28"/>
        <v>203</v>
      </c>
      <c r="L414" s="27">
        <v>50000</v>
      </c>
      <c r="M414" s="27">
        <v>74000</v>
      </c>
      <c r="N414" s="28">
        <v>125</v>
      </c>
      <c r="P414" s="25" t="s">
        <v>460</v>
      </c>
    </row>
    <row r="415" spans="1:16" s="25" customFormat="1" x14ac:dyDescent="0.25">
      <c r="A415" s="25" t="s">
        <v>27</v>
      </c>
      <c r="B415" s="25" t="s">
        <v>35</v>
      </c>
      <c r="C415" s="25">
        <v>5000</v>
      </c>
      <c r="D415" s="26">
        <v>44</v>
      </c>
      <c r="E415" s="25">
        <f t="shared" si="27"/>
        <v>0.13500000000000001</v>
      </c>
      <c r="F415" s="25">
        <v>65</v>
      </c>
      <c r="G415" s="25">
        <v>25</v>
      </c>
      <c r="H415" s="25">
        <v>150</v>
      </c>
      <c r="I415" s="25">
        <f t="shared" si="29"/>
        <v>44</v>
      </c>
      <c r="J415" s="25">
        <f t="shared" si="30"/>
        <v>44</v>
      </c>
      <c r="K415" s="27">
        <f t="shared" si="28"/>
        <v>204</v>
      </c>
      <c r="L415" s="27">
        <v>50000</v>
      </c>
      <c r="M415" s="27">
        <v>74000</v>
      </c>
      <c r="N415" s="28">
        <v>125</v>
      </c>
      <c r="P415" s="25" t="s">
        <v>461</v>
      </c>
    </row>
    <row r="416" spans="1:16" s="25" customFormat="1" x14ac:dyDescent="0.25">
      <c r="A416" s="25" t="s">
        <v>27</v>
      </c>
      <c r="B416" s="25" t="s">
        <v>35</v>
      </c>
      <c r="C416" s="25">
        <v>5000</v>
      </c>
      <c r="D416" s="26">
        <v>45</v>
      </c>
      <c r="E416" s="25">
        <f t="shared" si="27"/>
        <v>0.13500000000000001</v>
      </c>
      <c r="F416" s="25">
        <v>65</v>
      </c>
      <c r="G416" s="25">
        <v>25</v>
      </c>
      <c r="H416" s="25">
        <v>150</v>
      </c>
      <c r="I416" s="25">
        <f t="shared" si="29"/>
        <v>45</v>
      </c>
      <c r="J416" s="25">
        <f t="shared" si="30"/>
        <v>45</v>
      </c>
      <c r="K416" s="27">
        <f t="shared" si="28"/>
        <v>205</v>
      </c>
      <c r="L416" s="27">
        <v>50000</v>
      </c>
      <c r="M416" s="27">
        <v>74000</v>
      </c>
      <c r="N416" s="28">
        <v>125</v>
      </c>
      <c r="P416" s="25" t="s">
        <v>462</v>
      </c>
    </row>
    <row r="417" spans="1:16" s="25" customFormat="1" x14ac:dyDescent="0.25">
      <c r="A417" s="25" t="s">
        <v>27</v>
      </c>
      <c r="B417" s="25" t="s">
        <v>35</v>
      </c>
      <c r="C417" s="25">
        <v>5000</v>
      </c>
      <c r="D417" s="25">
        <v>46</v>
      </c>
      <c r="E417" s="25">
        <f t="shared" si="27"/>
        <v>0.13500000000000001</v>
      </c>
      <c r="F417" s="25">
        <v>65</v>
      </c>
      <c r="G417" s="25">
        <v>25</v>
      </c>
      <c r="H417" s="25">
        <v>150</v>
      </c>
      <c r="I417" s="25">
        <f t="shared" si="29"/>
        <v>46</v>
      </c>
      <c r="J417" s="25">
        <f t="shared" si="30"/>
        <v>46</v>
      </c>
      <c r="K417" s="27">
        <f t="shared" si="28"/>
        <v>206</v>
      </c>
      <c r="L417" s="27">
        <v>50000</v>
      </c>
      <c r="M417" s="27">
        <v>74000</v>
      </c>
      <c r="N417" s="28">
        <v>125</v>
      </c>
      <c r="P417" s="25" t="s">
        <v>463</v>
      </c>
    </row>
    <row r="418" spans="1:16" s="25" customFormat="1" x14ac:dyDescent="0.25">
      <c r="A418" s="25" t="s">
        <v>27</v>
      </c>
      <c r="B418" s="25" t="s">
        <v>35</v>
      </c>
      <c r="C418" s="25">
        <v>5000</v>
      </c>
      <c r="D418" s="26">
        <v>47</v>
      </c>
      <c r="E418" s="25">
        <f t="shared" si="27"/>
        <v>0.13500000000000001</v>
      </c>
      <c r="F418" s="25">
        <v>65</v>
      </c>
      <c r="G418" s="25">
        <v>25</v>
      </c>
      <c r="H418" s="25">
        <v>150</v>
      </c>
      <c r="I418" s="25">
        <f t="shared" si="29"/>
        <v>47</v>
      </c>
      <c r="J418" s="25">
        <f t="shared" si="30"/>
        <v>47</v>
      </c>
      <c r="K418" s="27">
        <f t="shared" si="28"/>
        <v>207</v>
      </c>
      <c r="L418" s="27">
        <v>50000</v>
      </c>
      <c r="M418" s="27">
        <v>74000</v>
      </c>
      <c r="N418" s="28">
        <v>125</v>
      </c>
      <c r="P418" s="25" t="s">
        <v>464</v>
      </c>
    </row>
    <row r="419" spans="1:16" s="25" customFormat="1" x14ac:dyDescent="0.25">
      <c r="A419" s="25" t="s">
        <v>27</v>
      </c>
      <c r="B419" s="25" t="s">
        <v>35</v>
      </c>
      <c r="C419" s="25">
        <v>5000</v>
      </c>
      <c r="D419" s="26">
        <v>48</v>
      </c>
      <c r="E419" s="25">
        <f t="shared" si="27"/>
        <v>0.13500000000000001</v>
      </c>
      <c r="F419" s="25">
        <v>65</v>
      </c>
      <c r="G419" s="25">
        <v>25</v>
      </c>
      <c r="H419" s="25">
        <v>150</v>
      </c>
      <c r="I419" s="25">
        <f t="shared" si="29"/>
        <v>48</v>
      </c>
      <c r="J419" s="25">
        <f t="shared" si="30"/>
        <v>48</v>
      </c>
      <c r="K419" s="27">
        <f t="shared" si="28"/>
        <v>208</v>
      </c>
      <c r="L419" s="27">
        <v>50000</v>
      </c>
      <c r="M419" s="27">
        <v>74000</v>
      </c>
      <c r="N419" s="28">
        <v>125</v>
      </c>
      <c r="P419" s="25" t="s">
        <v>465</v>
      </c>
    </row>
    <row r="420" spans="1:16" s="25" customFormat="1" x14ac:dyDescent="0.25">
      <c r="A420" s="25" t="s">
        <v>27</v>
      </c>
      <c r="B420" s="25" t="s">
        <v>35</v>
      </c>
      <c r="C420" s="25">
        <v>5000</v>
      </c>
      <c r="D420" s="25">
        <v>49</v>
      </c>
      <c r="E420" s="25">
        <f t="shared" si="27"/>
        <v>0.13500000000000001</v>
      </c>
      <c r="F420" s="25">
        <v>65</v>
      </c>
      <c r="G420" s="25">
        <v>25</v>
      </c>
      <c r="H420" s="25">
        <v>150</v>
      </c>
      <c r="I420" s="25">
        <f t="shared" si="29"/>
        <v>49</v>
      </c>
      <c r="J420" s="25">
        <f t="shared" si="30"/>
        <v>49</v>
      </c>
      <c r="K420" s="27">
        <f t="shared" si="28"/>
        <v>209</v>
      </c>
      <c r="L420" s="27">
        <v>50000</v>
      </c>
      <c r="M420" s="27">
        <v>74000</v>
      </c>
      <c r="N420" s="28">
        <v>125</v>
      </c>
      <c r="P420" s="25" t="s">
        <v>466</v>
      </c>
    </row>
    <row r="421" spans="1:16" s="25" customFormat="1" x14ac:dyDescent="0.25">
      <c r="A421" s="25" t="s">
        <v>27</v>
      </c>
      <c r="B421" s="25" t="s">
        <v>35</v>
      </c>
      <c r="C421" s="25">
        <v>5000</v>
      </c>
      <c r="D421" s="26">
        <v>50</v>
      </c>
      <c r="E421" s="25">
        <f t="shared" si="27"/>
        <v>0.13500000000000001</v>
      </c>
      <c r="F421" s="25">
        <v>65</v>
      </c>
      <c r="G421" s="25">
        <v>25</v>
      </c>
      <c r="H421" s="25">
        <v>150</v>
      </c>
      <c r="I421" s="25">
        <f t="shared" si="29"/>
        <v>50</v>
      </c>
      <c r="J421" s="25">
        <f t="shared" si="30"/>
        <v>50</v>
      </c>
      <c r="K421" s="27">
        <f t="shared" si="28"/>
        <v>210</v>
      </c>
      <c r="L421" s="27">
        <v>50000</v>
      </c>
      <c r="M421" s="27">
        <v>74000</v>
      </c>
      <c r="N421" s="28">
        <v>125</v>
      </c>
      <c r="P421" s="25" t="s">
        <v>467</v>
      </c>
    </row>
    <row r="422" spans="1:16" s="25" customFormat="1" x14ac:dyDescent="0.25">
      <c r="A422" s="25" t="s">
        <v>27</v>
      </c>
      <c r="B422" s="25" t="s">
        <v>35</v>
      </c>
      <c r="C422" s="25">
        <v>5000</v>
      </c>
      <c r="D422" s="26">
        <v>51</v>
      </c>
      <c r="E422" s="25">
        <f t="shared" si="27"/>
        <v>0.13500000000000001</v>
      </c>
      <c r="F422" s="25">
        <v>65</v>
      </c>
      <c r="G422" s="25">
        <v>25</v>
      </c>
      <c r="H422" s="25">
        <v>150</v>
      </c>
      <c r="I422" s="25">
        <f t="shared" si="29"/>
        <v>51</v>
      </c>
      <c r="J422" s="25">
        <f t="shared" si="30"/>
        <v>51</v>
      </c>
      <c r="K422" s="27">
        <f t="shared" si="28"/>
        <v>211</v>
      </c>
      <c r="L422" s="27">
        <v>50000</v>
      </c>
      <c r="M422" s="27">
        <v>74000</v>
      </c>
      <c r="N422" s="28">
        <v>125</v>
      </c>
      <c r="P422" s="25" t="s">
        <v>468</v>
      </c>
    </row>
    <row r="423" spans="1:16" s="25" customFormat="1" x14ac:dyDescent="0.25">
      <c r="A423" s="25" t="s">
        <v>27</v>
      </c>
      <c r="B423" s="25" t="s">
        <v>35</v>
      </c>
      <c r="C423" s="25">
        <v>5000</v>
      </c>
      <c r="D423" s="25">
        <v>52</v>
      </c>
      <c r="E423" s="25">
        <f t="shared" si="27"/>
        <v>0.13500000000000001</v>
      </c>
      <c r="F423" s="25">
        <v>65</v>
      </c>
      <c r="G423" s="25">
        <v>25</v>
      </c>
      <c r="H423" s="25">
        <v>150</v>
      </c>
      <c r="I423" s="25">
        <f t="shared" si="29"/>
        <v>52</v>
      </c>
      <c r="J423" s="25">
        <f t="shared" si="30"/>
        <v>52</v>
      </c>
      <c r="K423" s="27">
        <f t="shared" si="28"/>
        <v>212</v>
      </c>
      <c r="L423" s="27">
        <v>50000</v>
      </c>
      <c r="M423" s="27">
        <v>74000</v>
      </c>
      <c r="N423" s="28">
        <v>125</v>
      </c>
      <c r="P423" s="25" t="s">
        <v>469</v>
      </c>
    </row>
    <row r="424" spans="1:16" s="25" customFormat="1" x14ac:dyDescent="0.25">
      <c r="A424" s="25" t="s">
        <v>27</v>
      </c>
      <c r="B424" s="25" t="s">
        <v>35</v>
      </c>
      <c r="C424" s="25">
        <v>5000</v>
      </c>
      <c r="D424" s="26">
        <v>53</v>
      </c>
      <c r="E424" s="25">
        <f t="shared" si="27"/>
        <v>0.13500000000000001</v>
      </c>
      <c r="F424" s="25">
        <v>65</v>
      </c>
      <c r="G424" s="25">
        <v>25</v>
      </c>
      <c r="H424" s="25">
        <v>150</v>
      </c>
      <c r="I424" s="25">
        <f t="shared" si="29"/>
        <v>53</v>
      </c>
      <c r="J424" s="25">
        <f t="shared" si="30"/>
        <v>53</v>
      </c>
      <c r="K424" s="27">
        <f t="shared" si="28"/>
        <v>213</v>
      </c>
      <c r="L424" s="27">
        <v>50000</v>
      </c>
      <c r="M424" s="27">
        <v>74000</v>
      </c>
      <c r="N424" s="28">
        <v>125</v>
      </c>
      <c r="P424" s="25" t="s">
        <v>470</v>
      </c>
    </row>
    <row r="425" spans="1:16" s="25" customFormat="1" x14ac:dyDescent="0.25">
      <c r="A425" s="25" t="s">
        <v>27</v>
      </c>
      <c r="B425" s="25" t="s">
        <v>35</v>
      </c>
      <c r="C425" s="25">
        <v>5000</v>
      </c>
      <c r="D425" s="26">
        <v>54</v>
      </c>
      <c r="E425" s="25">
        <f t="shared" si="27"/>
        <v>0.13500000000000001</v>
      </c>
      <c r="F425" s="25">
        <v>65</v>
      </c>
      <c r="G425" s="25">
        <v>25</v>
      </c>
      <c r="H425" s="25">
        <v>150</v>
      </c>
      <c r="I425" s="25">
        <f t="shared" si="29"/>
        <v>54</v>
      </c>
      <c r="J425" s="25">
        <f t="shared" si="30"/>
        <v>54</v>
      </c>
      <c r="K425" s="27">
        <f t="shared" si="28"/>
        <v>214</v>
      </c>
      <c r="L425" s="27">
        <v>50000</v>
      </c>
      <c r="M425" s="27">
        <v>74000</v>
      </c>
      <c r="N425" s="28">
        <v>125</v>
      </c>
      <c r="P425" s="25" t="s">
        <v>471</v>
      </c>
    </row>
    <row r="426" spans="1:16" s="25" customFormat="1" x14ac:dyDescent="0.25">
      <c r="A426" s="25" t="s">
        <v>27</v>
      </c>
      <c r="B426" s="25" t="s">
        <v>35</v>
      </c>
      <c r="C426" s="25">
        <v>5000</v>
      </c>
      <c r="D426" s="25">
        <v>55</v>
      </c>
      <c r="E426" s="25">
        <f t="shared" si="27"/>
        <v>0.13500000000000001</v>
      </c>
      <c r="F426" s="25">
        <v>65</v>
      </c>
      <c r="G426" s="25">
        <v>25</v>
      </c>
      <c r="H426" s="25">
        <v>150</v>
      </c>
      <c r="I426" s="25">
        <f t="shared" si="29"/>
        <v>55</v>
      </c>
      <c r="J426" s="25">
        <f t="shared" si="30"/>
        <v>55</v>
      </c>
      <c r="K426" s="27">
        <f t="shared" si="28"/>
        <v>215</v>
      </c>
      <c r="L426" s="27">
        <v>50000</v>
      </c>
      <c r="M426" s="27">
        <v>74000</v>
      </c>
      <c r="N426" s="28">
        <v>125</v>
      </c>
      <c r="P426" s="25" t="s">
        <v>472</v>
      </c>
    </row>
    <row r="427" spans="1:16" s="25" customFormat="1" x14ac:dyDescent="0.25">
      <c r="A427" s="25" t="s">
        <v>27</v>
      </c>
      <c r="B427" s="25" t="s">
        <v>35</v>
      </c>
      <c r="C427" s="25">
        <v>5000</v>
      </c>
      <c r="D427" s="26">
        <v>56</v>
      </c>
      <c r="E427" s="25">
        <f t="shared" si="27"/>
        <v>0.13500000000000001</v>
      </c>
      <c r="F427" s="25">
        <v>65</v>
      </c>
      <c r="G427" s="25">
        <v>25</v>
      </c>
      <c r="H427" s="25">
        <v>150</v>
      </c>
      <c r="I427" s="25">
        <f t="shared" si="29"/>
        <v>56</v>
      </c>
      <c r="J427" s="25">
        <f t="shared" si="30"/>
        <v>56</v>
      </c>
      <c r="K427" s="27">
        <f t="shared" si="28"/>
        <v>216</v>
      </c>
      <c r="L427" s="27">
        <v>50000</v>
      </c>
      <c r="M427" s="27">
        <v>74000</v>
      </c>
      <c r="N427" s="28">
        <v>125</v>
      </c>
      <c r="P427" s="25" t="s">
        <v>473</v>
      </c>
    </row>
    <row r="428" spans="1:16" s="25" customFormat="1" x14ac:dyDescent="0.25">
      <c r="A428" s="25" t="s">
        <v>27</v>
      </c>
      <c r="B428" s="25" t="s">
        <v>35</v>
      </c>
      <c r="C428" s="25">
        <v>5000</v>
      </c>
      <c r="D428" s="26">
        <v>57</v>
      </c>
      <c r="E428" s="25">
        <f t="shared" si="27"/>
        <v>0.13500000000000001</v>
      </c>
      <c r="F428" s="25">
        <v>65</v>
      </c>
      <c r="G428" s="25">
        <v>25</v>
      </c>
      <c r="H428" s="25">
        <v>150</v>
      </c>
      <c r="I428" s="25">
        <f t="shared" si="29"/>
        <v>57</v>
      </c>
      <c r="J428" s="25">
        <f t="shared" si="30"/>
        <v>57</v>
      </c>
      <c r="K428" s="27">
        <f t="shared" si="28"/>
        <v>217</v>
      </c>
      <c r="L428" s="27">
        <v>50000</v>
      </c>
      <c r="M428" s="27">
        <v>74000</v>
      </c>
      <c r="N428" s="28">
        <v>125</v>
      </c>
      <c r="P428" s="25" t="s">
        <v>474</v>
      </c>
    </row>
    <row r="429" spans="1:16" s="25" customFormat="1" x14ac:dyDescent="0.25">
      <c r="A429" s="25" t="s">
        <v>27</v>
      </c>
      <c r="B429" s="25" t="s">
        <v>35</v>
      </c>
      <c r="C429" s="25">
        <v>5000</v>
      </c>
      <c r="D429" s="25">
        <v>58</v>
      </c>
      <c r="E429" s="25">
        <f t="shared" si="27"/>
        <v>0.13500000000000001</v>
      </c>
      <c r="F429" s="25">
        <v>65</v>
      </c>
      <c r="G429" s="25">
        <v>25</v>
      </c>
      <c r="H429" s="25">
        <v>150</v>
      </c>
      <c r="I429" s="25">
        <f t="shared" si="29"/>
        <v>58</v>
      </c>
      <c r="J429" s="25">
        <f t="shared" si="30"/>
        <v>58</v>
      </c>
      <c r="K429" s="27">
        <f t="shared" si="28"/>
        <v>218</v>
      </c>
      <c r="L429" s="27">
        <v>50000</v>
      </c>
      <c r="M429" s="27">
        <v>74000</v>
      </c>
      <c r="N429" s="28">
        <v>125</v>
      </c>
      <c r="P429" s="25" t="s">
        <v>475</v>
      </c>
    </row>
    <row r="430" spans="1:16" s="25" customFormat="1" x14ac:dyDescent="0.25">
      <c r="A430" s="25" t="s">
        <v>27</v>
      </c>
      <c r="B430" s="25" t="s">
        <v>35</v>
      </c>
      <c r="C430" s="25">
        <v>5000</v>
      </c>
      <c r="D430" s="26">
        <v>59</v>
      </c>
      <c r="E430" s="25">
        <f t="shared" si="27"/>
        <v>0.13500000000000001</v>
      </c>
      <c r="F430" s="25">
        <v>65</v>
      </c>
      <c r="G430" s="25">
        <v>25</v>
      </c>
      <c r="H430" s="25">
        <v>150</v>
      </c>
      <c r="I430" s="25">
        <f t="shared" si="29"/>
        <v>59</v>
      </c>
      <c r="J430" s="25">
        <f t="shared" si="30"/>
        <v>59</v>
      </c>
      <c r="K430" s="27">
        <f t="shared" si="28"/>
        <v>219</v>
      </c>
      <c r="L430" s="27">
        <v>50000</v>
      </c>
      <c r="M430" s="27">
        <v>74000</v>
      </c>
      <c r="N430" s="28">
        <v>125</v>
      </c>
      <c r="P430" s="25" t="s">
        <v>476</v>
      </c>
    </row>
    <row r="431" spans="1:16" s="25" customFormat="1" x14ac:dyDescent="0.25">
      <c r="A431" s="25" t="s">
        <v>27</v>
      </c>
      <c r="B431" s="25" t="s">
        <v>35</v>
      </c>
      <c r="C431" s="25">
        <v>5000</v>
      </c>
      <c r="D431" s="26">
        <v>60</v>
      </c>
      <c r="E431" s="25">
        <f t="shared" si="27"/>
        <v>0.13500000000000001</v>
      </c>
      <c r="F431" s="25">
        <v>65</v>
      </c>
      <c r="G431" s="25">
        <v>25</v>
      </c>
      <c r="H431" s="25">
        <v>150</v>
      </c>
      <c r="I431" s="25">
        <f t="shared" si="29"/>
        <v>60</v>
      </c>
      <c r="J431" s="25">
        <f t="shared" si="30"/>
        <v>60</v>
      </c>
      <c r="K431" s="27">
        <f t="shared" si="28"/>
        <v>220</v>
      </c>
      <c r="L431" s="27">
        <v>50000</v>
      </c>
      <c r="M431" s="27">
        <v>74000</v>
      </c>
      <c r="N431" s="28">
        <v>125</v>
      </c>
      <c r="P431" s="25" t="s">
        <v>477</v>
      </c>
    </row>
    <row r="432" spans="1:16" s="25" customFormat="1" x14ac:dyDescent="0.25">
      <c r="A432" s="25" t="s">
        <v>27</v>
      </c>
      <c r="B432" s="25" t="s">
        <v>35</v>
      </c>
      <c r="C432" s="25">
        <v>5000</v>
      </c>
      <c r="D432" s="25">
        <v>61</v>
      </c>
      <c r="E432" s="25">
        <f t="shared" si="27"/>
        <v>0.13500000000000001</v>
      </c>
      <c r="F432" s="25">
        <v>65</v>
      </c>
      <c r="G432" s="25">
        <v>25</v>
      </c>
      <c r="H432" s="25">
        <v>150</v>
      </c>
      <c r="I432" s="25">
        <f t="shared" si="29"/>
        <v>61</v>
      </c>
      <c r="J432" s="25">
        <f t="shared" si="30"/>
        <v>61</v>
      </c>
      <c r="K432" s="27">
        <f t="shared" si="28"/>
        <v>221</v>
      </c>
      <c r="L432" s="27">
        <v>50000</v>
      </c>
      <c r="M432" s="27">
        <v>74000</v>
      </c>
      <c r="N432" s="28">
        <v>125</v>
      </c>
      <c r="P432" s="25" t="s">
        <v>478</v>
      </c>
    </row>
    <row r="433" spans="1:16" s="25" customFormat="1" x14ac:dyDescent="0.25">
      <c r="A433" s="25" t="s">
        <v>27</v>
      </c>
      <c r="B433" s="25" t="s">
        <v>35</v>
      </c>
      <c r="C433" s="25">
        <v>5000</v>
      </c>
      <c r="D433" s="26">
        <v>62</v>
      </c>
      <c r="E433" s="25">
        <f t="shared" si="27"/>
        <v>0.13500000000000001</v>
      </c>
      <c r="F433" s="25">
        <v>65</v>
      </c>
      <c r="G433" s="25">
        <v>25</v>
      </c>
      <c r="H433" s="25">
        <v>150</v>
      </c>
      <c r="I433" s="25">
        <f t="shared" si="29"/>
        <v>62</v>
      </c>
      <c r="J433" s="25">
        <f t="shared" si="30"/>
        <v>62</v>
      </c>
      <c r="K433" s="27">
        <f t="shared" si="28"/>
        <v>222</v>
      </c>
      <c r="L433" s="27">
        <v>50000</v>
      </c>
      <c r="M433" s="27">
        <v>74000</v>
      </c>
      <c r="N433" s="28">
        <v>125</v>
      </c>
      <c r="P433" s="25" t="s">
        <v>479</v>
      </c>
    </row>
    <row r="434" spans="1:16" s="25" customFormat="1" x14ac:dyDescent="0.25">
      <c r="A434" s="25" t="s">
        <v>27</v>
      </c>
      <c r="B434" s="25" t="s">
        <v>35</v>
      </c>
      <c r="C434" s="25">
        <v>5000</v>
      </c>
      <c r="D434" s="26">
        <v>63</v>
      </c>
      <c r="E434" s="25">
        <f t="shared" si="27"/>
        <v>0.13500000000000001</v>
      </c>
      <c r="F434" s="25">
        <v>65</v>
      </c>
      <c r="G434" s="25">
        <v>25</v>
      </c>
      <c r="H434" s="25">
        <v>150</v>
      </c>
      <c r="I434" s="25">
        <f t="shared" si="29"/>
        <v>63</v>
      </c>
      <c r="J434" s="25">
        <f t="shared" si="30"/>
        <v>63</v>
      </c>
      <c r="K434" s="27">
        <f t="shared" si="28"/>
        <v>223</v>
      </c>
      <c r="L434" s="27">
        <v>50000</v>
      </c>
      <c r="M434" s="27">
        <v>74000</v>
      </c>
      <c r="N434" s="28">
        <v>125</v>
      </c>
      <c r="P434" s="25" t="s">
        <v>480</v>
      </c>
    </row>
    <row r="435" spans="1:16" s="25" customFormat="1" x14ac:dyDescent="0.25">
      <c r="A435" s="25" t="s">
        <v>27</v>
      </c>
      <c r="B435" s="25" t="s">
        <v>35</v>
      </c>
      <c r="C435" s="25">
        <v>5000</v>
      </c>
      <c r="D435" s="25">
        <v>64</v>
      </c>
      <c r="E435" s="25">
        <f t="shared" si="27"/>
        <v>0.13500000000000001</v>
      </c>
      <c r="F435" s="25">
        <v>65</v>
      </c>
      <c r="G435" s="25">
        <v>25</v>
      </c>
      <c r="H435" s="25">
        <v>150</v>
      </c>
      <c r="I435" s="25">
        <f t="shared" si="29"/>
        <v>64</v>
      </c>
      <c r="J435" s="25">
        <f t="shared" si="30"/>
        <v>64</v>
      </c>
      <c r="K435" s="27">
        <f t="shared" si="28"/>
        <v>224</v>
      </c>
      <c r="L435" s="27">
        <v>50000</v>
      </c>
      <c r="M435" s="27">
        <v>74000</v>
      </c>
      <c r="N435" s="28">
        <v>125</v>
      </c>
      <c r="P435" s="25" t="s">
        <v>481</v>
      </c>
    </row>
    <row r="436" spans="1:16" s="25" customFormat="1" x14ac:dyDescent="0.25">
      <c r="A436" s="25" t="s">
        <v>27</v>
      </c>
      <c r="B436" s="25" t="s">
        <v>35</v>
      </c>
      <c r="C436" s="25">
        <v>5000</v>
      </c>
      <c r="D436" s="26">
        <v>65</v>
      </c>
      <c r="E436" s="25">
        <f t="shared" si="27"/>
        <v>0.13500000000000001</v>
      </c>
      <c r="F436" s="25">
        <v>65</v>
      </c>
      <c r="G436" s="25">
        <v>25</v>
      </c>
      <c r="H436" s="25">
        <v>150</v>
      </c>
      <c r="I436" s="25">
        <f t="shared" si="29"/>
        <v>65</v>
      </c>
      <c r="J436" s="25">
        <f t="shared" si="30"/>
        <v>65</v>
      </c>
      <c r="K436" s="27">
        <f t="shared" si="28"/>
        <v>225</v>
      </c>
      <c r="L436" s="27">
        <v>50000</v>
      </c>
      <c r="M436" s="27">
        <v>74000</v>
      </c>
      <c r="N436" s="28">
        <v>125</v>
      </c>
      <c r="P436" s="25" t="s">
        <v>482</v>
      </c>
    </row>
    <row r="437" spans="1:16" s="25" customFormat="1" x14ac:dyDescent="0.25">
      <c r="A437" s="25" t="s">
        <v>27</v>
      </c>
      <c r="B437" s="25" t="s">
        <v>35</v>
      </c>
      <c r="C437" s="25">
        <v>5000</v>
      </c>
      <c r="D437" s="26">
        <v>66</v>
      </c>
      <c r="E437" s="25">
        <f t="shared" si="27"/>
        <v>0.13500000000000001</v>
      </c>
      <c r="F437" s="25">
        <v>65</v>
      </c>
      <c r="G437" s="25">
        <v>25</v>
      </c>
      <c r="H437" s="25">
        <v>150</v>
      </c>
      <c r="I437" s="25">
        <f t="shared" si="29"/>
        <v>66</v>
      </c>
      <c r="J437" s="25">
        <f t="shared" si="30"/>
        <v>66</v>
      </c>
      <c r="K437" s="27">
        <f t="shared" si="28"/>
        <v>226</v>
      </c>
      <c r="L437" s="27">
        <v>50000</v>
      </c>
      <c r="M437" s="27">
        <v>74000</v>
      </c>
      <c r="N437" s="28">
        <v>125</v>
      </c>
      <c r="P437" s="25" t="s">
        <v>483</v>
      </c>
    </row>
    <row r="438" spans="1:16" s="25" customFormat="1" x14ac:dyDescent="0.25">
      <c r="A438" s="25" t="s">
        <v>27</v>
      </c>
      <c r="B438" s="25" t="s">
        <v>35</v>
      </c>
      <c r="C438" s="25">
        <v>5000</v>
      </c>
      <c r="D438" s="25">
        <v>67</v>
      </c>
      <c r="E438" s="25">
        <f t="shared" si="27"/>
        <v>0.13500000000000001</v>
      </c>
      <c r="F438" s="25">
        <v>65</v>
      </c>
      <c r="G438" s="25">
        <v>25</v>
      </c>
      <c r="H438" s="25">
        <v>150</v>
      </c>
      <c r="I438" s="25">
        <f t="shared" si="29"/>
        <v>67</v>
      </c>
      <c r="J438" s="25">
        <f t="shared" si="30"/>
        <v>67</v>
      </c>
      <c r="K438" s="27">
        <f t="shared" si="28"/>
        <v>227</v>
      </c>
      <c r="L438" s="27">
        <v>50000</v>
      </c>
      <c r="M438" s="27">
        <v>74000</v>
      </c>
      <c r="N438" s="28">
        <v>125</v>
      </c>
      <c r="P438" s="25" t="s">
        <v>484</v>
      </c>
    </row>
    <row r="439" spans="1:16" s="25" customFormat="1" x14ac:dyDescent="0.25">
      <c r="A439" s="25" t="s">
        <v>27</v>
      </c>
      <c r="B439" s="25" t="s">
        <v>35</v>
      </c>
      <c r="C439" s="25">
        <v>5000</v>
      </c>
      <c r="D439" s="26">
        <v>68</v>
      </c>
      <c r="E439" s="25">
        <f t="shared" si="27"/>
        <v>0.13500000000000001</v>
      </c>
      <c r="F439" s="25">
        <v>65</v>
      </c>
      <c r="G439" s="25">
        <v>25</v>
      </c>
      <c r="H439" s="25">
        <v>150</v>
      </c>
      <c r="I439" s="25">
        <f t="shared" si="29"/>
        <v>68</v>
      </c>
      <c r="J439" s="25">
        <f t="shared" si="30"/>
        <v>68</v>
      </c>
      <c r="K439" s="27">
        <f t="shared" si="28"/>
        <v>228</v>
      </c>
      <c r="L439" s="27">
        <v>50000</v>
      </c>
      <c r="M439" s="27">
        <v>74000</v>
      </c>
      <c r="N439" s="28">
        <v>125</v>
      </c>
      <c r="P439" s="25" t="s">
        <v>485</v>
      </c>
    </row>
    <row r="440" spans="1:16" s="25" customFormat="1" x14ac:dyDescent="0.25">
      <c r="A440" s="25" t="s">
        <v>27</v>
      </c>
      <c r="B440" s="25" t="s">
        <v>35</v>
      </c>
      <c r="C440" s="25">
        <v>5000</v>
      </c>
      <c r="D440" s="26">
        <v>69</v>
      </c>
      <c r="E440" s="25">
        <f t="shared" si="27"/>
        <v>0.13500000000000001</v>
      </c>
      <c r="F440" s="25">
        <v>65</v>
      </c>
      <c r="G440" s="25">
        <v>25</v>
      </c>
      <c r="H440" s="25">
        <v>150</v>
      </c>
      <c r="I440" s="25">
        <f t="shared" si="29"/>
        <v>69</v>
      </c>
      <c r="J440" s="25">
        <f t="shared" si="30"/>
        <v>69</v>
      </c>
      <c r="K440" s="27">
        <f t="shared" si="28"/>
        <v>229</v>
      </c>
      <c r="L440" s="27">
        <v>50000</v>
      </c>
      <c r="M440" s="27">
        <v>74000</v>
      </c>
      <c r="N440" s="28">
        <v>125</v>
      </c>
      <c r="P440" s="25" t="s">
        <v>486</v>
      </c>
    </row>
    <row r="441" spans="1:16" s="25" customFormat="1" x14ac:dyDescent="0.25">
      <c r="A441" s="25" t="s">
        <v>27</v>
      </c>
      <c r="B441" s="25" t="s">
        <v>35</v>
      </c>
      <c r="C441" s="25">
        <v>5000</v>
      </c>
      <c r="D441" s="25">
        <v>70</v>
      </c>
      <c r="E441" s="25">
        <f t="shared" si="27"/>
        <v>0.13500000000000001</v>
      </c>
      <c r="F441" s="25">
        <v>65</v>
      </c>
      <c r="G441" s="25">
        <v>25</v>
      </c>
      <c r="H441" s="25">
        <v>150</v>
      </c>
      <c r="I441" s="25">
        <f t="shared" si="29"/>
        <v>70</v>
      </c>
      <c r="J441" s="25">
        <f t="shared" si="30"/>
        <v>70</v>
      </c>
      <c r="K441" s="27">
        <f t="shared" si="28"/>
        <v>230</v>
      </c>
      <c r="L441" s="27">
        <v>50000</v>
      </c>
      <c r="M441" s="27">
        <v>74000</v>
      </c>
      <c r="N441" s="28">
        <v>125</v>
      </c>
      <c r="P441" s="25" t="s">
        <v>487</v>
      </c>
    </row>
    <row r="442" spans="1:16" s="25" customFormat="1" x14ac:dyDescent="0.25">
      <c r="A442" s="25" t="s">
        <v>27</v>
      </c>
      <c r="B442" s="25" t="s">
        <v>35</v>
      </c>
      <c r="C442" s="25">
        <v>5000</v>
      </c>
      <c r="D442" s="26">
        <v>71</v>
      </c>
      <c r="E442" s="25">
        <f t="shared" si="27"/>
        <v>0.13500000000000001</v>
      </c>
      <c r="F442" s="25">
        <v>65</v>
      </c>
      <c r="G442" s="25">
        <v>25</v>
      </c>
      <c r="H442" s="25">
        <v>150</v>
      </c>
      <c r="I442" s="25">
        <f t="shared" si="29"/>
        <v>71</v>
      </c>
      <c r="J442" s="25">
        <f t="shared" si="30"/>
        <v>71</v>
      </c>
      <c r="K442" s="27">
        <f t="shared" si="28"/>
        <v>231</v>
      </c>
      <c r="L442" s="27">
        <v>50000</v>
      </c>
      <c r="M442" s="27">
        <v>74000</v>
      </c>
      <c r="N442" s="28">
        <v>125</v>
      </c>
      <c r="P442" s="25" t="s">
        <v>488</v>
      </c>
    </row>
    <row r="443" spans="1:16" s="25" customFormat="1" x14ac:dyDescent="0.25">
      <c r="A443" s="25" t="s">
        <v>27</v>
      </c>
      <c r="B443" s="25" t="s">
        <v>35</v>
      </c>
      <c r="C443" s="25">
        <v>5000</v>
      </c>
      <c r="D443" s="26">
        <v>72</v>
      </c>
      <c r="E443" s="25">
        <f t="shared" si="27"/>
        <v>0.13500000000000001</v>
      </c>
      <c r="F443" s="25">
        <v>65</v>
      </c>
      <c r="G443" s="25">
        <v>25</v>
      </c>
      <c r="H443" s="25">
        <v>150</v>
      </c>
      <c r="I443" s="25">
        <f t="shared" si="29"/>
        <v>72</v>
      </c>
      <c r="J443" s="25">
        <f t="shared" si="30"/>
        <v>72</v>
      </c>
      <c r="K443" s="27">
        <f t="shared" si="28"/>
        <v>232</v>
      </c>
      <c r="L443" s="27">
        <v>50000</v>
      </c>
      <c r="M443" s="27">
        <v>74000</v>
      </c>
      <c r="N443" s="28">
        <v>125</v>
      </c>
      <c r="P443" s="25" t="s">
        <v>489</v>
      </c>
    </row>
    <row r="444" spans="1:16" s="25" customFormat="1" x14ac:dyDescent="0.25">
      <c r="A444" s="25" t="s">
        <v>27</v>
      </c>
      <c r="B444" s="25" t="s">
        <v>35</v>
      </c>
      <c r="C444" s="25">
        <v>5000</v>
      </c>
      <c r="D444" s="25">
        <v>73</v>
      </c>
      <c r="E444" s="25">
        <f t="shared" si="27"/>
        <v>0.13500000000000001</v>
      </c>
      <c r="F444" s="25">
        <v>65</v>
      </c>
      <c r="G444" s="25">
        <v>25</v>
      </c>
      <c r="H444" s="25">
        <v>150</v>
      </c>
      <c r="I444" s="25">
        <f t="shared" si="29"/>
        <v>73</v>
      </c>
      <c r="J444" s="25">
        <f t="shared" si="30"/>
        <v>73</v>
      </c>
      <c r="K444" s="27">
        <f t="shared" si="28"/>
        <v>233</v>
      </c>
      <c r="L444" s="27">
        <v>50000</v>
      </c>
      <c r="M444" s="27">
        <v>74000</v>
      </c>
      <c r="N444" s="28">
        <v>125</v>
      </c>
      <c r="P444" s="25" t="s">
        <v>490</v>
      </c>
    </row>
    <row r="445" spans="1:16" s="25" customFormat="1" x14ac:dyDescent="0.25">
      <c r="A445" s="25" t="s">
        <v>27</v>
      </c>
      <c r="B445" s="25" t="s">
        <v>35</v>
      </c>
      <c r="C445" s="25">
        <v>5000</v>
      </c>
      <c r="D445" s="26">
        <v>74</v>
      </c>
      <c r="E445" s="25">
        <f t="shared" si="27"/>
        <v>0.13500000000000001</v>
      </c>
      <c r="F445" s="25">
        <v>65</v>
      </c>
      <c r="G445" s="25">
        <v>25</v>
      </c>
      <c r="H445" s="25">
        <v>150</v>
      </c>
      <c r="I445" s="25">
        <f t="shared" si="29"/>
        <v>74</v>
      </c>
      <c r="J445" s="25">
        <f t="shared" si="30"/>
        <v>74</v>
      </c>
      <c r="K445" s="27">
        <f t="shared" si="28"/>
        <v>234</v>
      </c>
      <c r="L445" s="27">
        <v>50000</v>
      </c>
      <c r="M445" s="27">
        <v>74000</v>
      </c>
      <c r="N445" s="28">
        <v>125</v>
      </c>
      <c r="P445" s="25" t="s">
        <v>491</v>
      </c>
    </row>
    <row r="446" spans="1:16" s="25" customFormat="1" x14ac:dyDescent="0.25">
      <c r="A446" s="25" t="s">
        <v>27</v>
      </c>
      <c r="B446" s="25" t="s">
        <v>35</v>
      </c>
      <c r="C446" s="25">
        <v>5000</v>
      </c>
      <c r="D446" s="26">
        <v>75</v>
      </c>
      <c r="E446" s="25">
        <f t="shared" ref="E446:E509" si="31">AVERAGE(0.15,0.12)</f>
        <v>0.13500000000000001</v>
      </c>
      <c r="F446" s="25">
        <v>65</v>
      </c>
      <c r="G446" s="25">
        <v>25</v>
      </c>
      <c r="H446" s="25">
        <v>150</v>
      </c>
      <c r="I446" s="25">
        <f t="shared" si="29"/>
        <v>75</v>
      </c>
      <c r="J446" s="25">
        <f t="shared" si="30"/>
        <v>75</v>
      </c>
      <c r="K446" s="27">
        <f t="shared" ref="K446:K509" si="32">160+D446</f>
        <v>235</v>
      </c>
      <c r="L446" s="27">
        <v>50000</v>
      </c>
      <c r="M446" s="27">
        <v>74000</v>
      </c>
      <c r="N446" s="28">
        <v>125</v>
      </c>
      <c r="P446" s="25" t="s">
        <v>492</v>
      </c>
    </row>
    <row r="447" spans="1:16" s="25" customFormat="1" x14ac:dyDescent="0.25">
      <c r="A447" s="25" t="s">
        <v>27</v>
      </c>
      <c r="B447" s="25" t="s">
        <v>35</v>
      </c>
      <c r="C447" s="25">
        <v>5000</v>
      </c>
      <c r="D447" s="25">
        <v>76</v>
      </c>
      <c r="E447" s="25">
        <f t="shared" si="31"/>
        <v>0.13500000000000001</v>
      </c>
      <c r="F447" s="25">
        <v>65</v>
      </c>
      <c r="G447" s="25">
        <v>25</v>
      </c>
      <c r="H447" s="25">
        <v>150</v>
      </c>
      <c r="I447" s="25">
        <f t="shared" si="29"/>
        <v>76</v>
      </c>
      <c r="J447" s="25">
        <f t="shared" si="30"/>
        <v>76</v>
      </c>
      <c r="K447" s="27">
        <f t="shared" si="32"/>
        <v>236</v>
      </c>
      <c r="L447" s="27">
        <v>50000</v>
      </c>
      <c r="M447" s="27">
        <v>74000</v>
      </c>
      <c r="N447" s="28">
        <v>125</v>
      </c>
      <c r="P447" s="25" t="s">
        <v>493</v>
      </c>
    </row>
    <row r="448" spans="1:16" s="25" customFormat="1" x14ac:dyDescent="0.25">
      <c r="A448" s="25" t="s">
        <v>27</v>
      </c>
      <c r="B448" s="25" t="s">
        <v>35</v>
      </c>
      <c r="C448" s="25">
        <v>5000</v>
      </c>
      <c r="D448" s="26">
        <v>77</v>
      </c>
      <c r="E448" s="25">
        <f t="shared" si="31"/>
        <v>0.13500000000000001</v>
      </c>
      <c r="F448" s="25">
        <v>65</v>
      </c>
      <c r="G448" s="25">
        <v>25</v>
      </c>
      <c r="H448" s="25">
        <v>150</v>
      </c>
      <c r="I448" s="25">
        <f t="shared" si="29"/>
        <v>77</v>
      </c>
      <c r="J448" s="25">
        <f t="shared" si="30"/>
        <v>77</v>
      </c>
      <c r="K448" s="27">
        <f t="shared" si="32"/>
        <v>237</v>
      </c>
      <c r="L448" s="27">
        <v>50000</v>
      </c>
      <c r="M448" s="27">
        <v>74000</v>
      </c>
      <c r="N448" s="28">
        <v>125</v>
      </c>
      <c r="P448" s="25" t="s">
        <v>494</v>
      </c>
    </row>
    <row r="449" spans="1:16" s="25" customFormat="1" x14ac:dyDescent="0.25">
      <c r="A449" s="25" t="s">
        <v>27</v>
      </c>
      <c r="B449" s="25" t="s">
        <v>35</v>
      </c>
      <c r="C449" s="25">
        <v>5000</v>
      </c>
      <c r="D449" s="26">
        <v>78</v>
      </c>
      <c r="E449" s="25">
        <f t="shared" si="31"/>
        <v>0.13500000000000001</v>
      </c>
      <c r="F449" s="25">
        <v>65</v>
      </c>
      <c r="G449" s="25">
        <v>25</v>
      </c>
      <c r="H449" s="25">
        <v>150</v>
      </c>
      <c r="I449" s="25">
        <f t="shared" si="29"/>
        <v>78</v>
      </c>
      <c r="J449" s="25">
        <f t="shared" si="30"/>
        <v>78</v>
      </c>
      <c r="K449" s="27">
        <f t="shared" si="32"/>
        <v>238</v>
      </c>
      <c r="L449" s="27">
        <v>50000</v>
      </c>
      <c r="M449" s="27">
        <v>74000</v>
      </c>
      <c r="N449" s="28">
        <v>125</v>
      </c>
      <c r="P449" s="25" t="s">
        <v>495</v>
      </c>
    </row>
    <row r="450" spans="1:16" s="25" customFormat="1" x14ac:dyDescent="0.25">
      <c r="A450" s="25" t="s">
        <v>27</v>
      </c>
      <c r="B450" s="25" t="s">
        <v>35</v>
      </c>
      <c r="C450" s="25">
        <v>5000</v>
      </c>
      <c r="D450" s="25">
        <v>79</v>
      </c>
      <c r="E450" s="25">
        <f t="shared" si="31"/>
        <v>0.13500000000000001</v>
      </c>
      <c r="F450" s="25">
        <v>65</v>
      </c>
      <c r="G450" s="25">
        <v>25</v>
      </c>
      <c r="H450" s="25">
        <v>150</v>
      </c>
      <c r="I450" s="25">
        <f t="shared" si="29"/>
        <v>79</v>
      </c>
      <c r="J450" s="25">
        <f t="shared" si="30"/>
        <v>79</v>
      </c>
      <c r="K450" s="27">
        <f t="shared" si="32"/>
        <v>239</v>
      </c>
      <c r="L450" s="27">
        <v>50000</v>
      </c>
      <c r="M450" s="27">
        <v>74000</v>
      </c>
      <c r="N450" s="28">
        <v>125</v>
      </c>
      <c r="P450" s="25" t="s">
        <v>496</v>
      </c>
    </row>
    <row r="451" spans="1:16" s="25" customFormat="1" x14ac:dyDescent="0.25">
      <c r="A451" s="25" t="s">
        <v>27</v>
      </c>
      <c r="B451" s="25" t="s">
        <v>35</v>
      </c>
      <c r="C451" s="25">
        <v>5000</v>
      </c>
      <c r="D451" s="26">
        <v>80</v>
      </c>
      <c r="E451" s="25">
        <f t="shared" si="31"/>
        <v>0.13500000000000001</v>
      </c>
      <c r="F451" s="25">
        <v>65</v>
      </c>
      <c r="G451" s="25">
        <v>25</v>
      </c>
      <c r="H451" s="25">
        <v>150</v>
      </c>
      <c r="I451" s="25">
        <f t="shared" si="29"/>
        <v>80</v>
      </c>
      <c r="J451" s="25">
        <f t="shared" si="30"/>
        <v>80</v>
      </c>
      <c r="K451" s="27">
        <f t="shared" si="32"/>
        <v>240</v>
      </c>
      <c r="L451" s="27">
        <v>50000</v>
      </c>
      <c r="M451" s="27">
        <v>74000</v>
      </c>
      <c r="N451" s="28">
        <v>125</v>
      </c>
      <c r="P451" s="25" t="s">
        <v>497</v>
      </c>
    </row>
    <row r="452" spans="1:16" s="25" customFormat="1" x14ac:dyDescent="0.25">
      <c r="A452" s="25" t="s">
        <v>27</v>
      </c>
      <c r="B452" s="25" t="s">
        <v>35</v>
      </c>
      <c r="C452" s="25">
        <v>5000</v>
      </c>
      <c r="D452" s="26">
        <v>81</v>
      </c>
      <c r="E452" s="25">
        <f t="shared" si="31"/>
        <v>0.13500000000000001</v>
      </c>
      <c r="F452" s="25">
        <v>65</v>
      </c>
      <c r="G452" s="25">
        <v>25</v>
      </c>
      <c r="H452" s="25">
        <v>150</v>
      </c>
      <c r="I452" s="25">
        <f t="shared" si="29"/>
        <v>81</v>
      </c>
      <c r="J452" s="25">
        <f t="shared" si="30"/>
        <v>81</v>
      </c>
      <c r="K452" s="27">
        <f t="shared" si="32"/>
        <v>241</v>
      </c>
      <c r="L452" s="27">
        <v>50000</v>
      </c>
      <c r="M452" s="27">
        <v>74000</v>
      </c>
      <c r="N452" s="28">
        <v>125</v>
      </c>
      <c r="P452" s="25" t="s">
        <v>498</v>
      </c>
    </row>
    <row r="453" spans="1:16" s="25" customFormat="1" x14ac:dyDescent="0.25">
      <c r="A453" s="25" t="s">
        <v>27</v>
      </c>
      <c r="B453" s="25" t="s">
        <v>35</v>
      </c>
      <c r="C453" s="25">
        <v>5000</v>
      </c>
      <c r="D453" s="25">
        <v>82</v>
      </c>
      <c r="E453" s="25">
        <f t="shared" si="31"/>
        <v>0.13500000000000001</v>
      </c>
      <c r="F453" s="25">
        <v>65</v>
      </c>
      <c r="G453" s="25">
        <v>25</v>
      </c>
      <c r="H453" s="25">
        <v>150</v>
      </c>
      <c r="I453" s="25">
        <f t="shared" si="29"/>
        <v>82</v>
      </c>
      <c r="J453" s="25">
        <f t="shared" si="30"/>
        <v>82</v>
      </c>
      <c r="K453" s="27">
        <f t="shared" si="32"/>
        <v>242</v>
      </c>
      <c r="L453" s="27">
        <v>50000</v>
      </c>
      <c r="M453" s="27">
        <v>74000</v>
      </c>
      <c r="N453" s="28">
        <v>125</v>
      </c>
      <c r="P453" s="25" t="s">
        <v>499</v>
      </c>
    </row>
    <row r="454" spans="1:16" s="25" customFormat="1" x14ac:dyDescent="0.25">
      <c r="A454" s="25" t="s">
        <v>27</v>
      </c>
      <c r="B454" s="25" t="s">
        <v>35</v>
      </c>
      <c r="C454" s="25">
        <v>5000</v>
      </c>
      <c r="D454" s="26">
        <v>83</v>
      </c>
      <c r="E454" s="25">
        <f t="shared" si="31"/>
        <v>0.13500000000000001</v>
      </c>
      <c r="F454" s="25">
        <v>65</v>
      </c>
      <c r="G454" s="25">
        <v>25</v>
      </c>
      <c r="H454" s="25">
        <v>150</v>
      </c>
      <c r="I454" s="25">
        <f t="shared" si="29"/>
        <v>83</v>
      </c>
      <c r="J454" s="25">
        <f t="shared" si="30"/>
        <v>83</v>
      </c>
      <c r="K454" s="27">
        <f t="shared" si="32"/>
        <v>243</v>
      </c>
      <c r="L454" s="27">
        <v>50000</v>
      </c>
      <c r="M454" s="27">
        <v>74000</v>
      </c>
      <c r="N454" s="28">
        <v>125</v>
      </c>
      <c r="P454" s="25" t="s">
        <v>500</v>
      </c>
    </row>
    <row r="455" spans="1:16" s="25" customFormat="1" x14ac:dyDescent="0.25">
      <c r="A455" s="25" t="s">
        <v>27</v>
      </c>
      <c r="B455" s="25" t="s">
        <v>35</v>
      </c>
      <c r="C455" s="25">
        <v>5000</v>
      </c>
      <c r="D455" s="26">
        <v>84</v>
      </c>
      <c r="E455" s="25">
        <f t="shared" si="31"/>
        <v>0.13500000000000001</v>
      </c>
      <c r="F455" s="25">
        <v>65</v>
      </c>
      <c r="G455" s="25">
        <v>25</v>
      </c>
      <c r="H455" s="25">
        <v>150</v>
      </c>
      <c r="I455" s="25">
        <f t="shared" si="29"/>
        <v>84</v>
      </c>
      <c r="J455" s="25">
        <f t="shared" si="30"/>
        <v>84</v>
      </c>
      <c r="K455" s="27">
        <f t="shared" si="32"/>
        <v>244</v>
      </c>
      <c r="L455" s="27">
        <v>50000</v>
      </c>
      <c r="M455" s="27">
        <v>74000</v>
      </c>
      <c r="N455" s="28">
        <v>125</v>
      </c>
      <c r="P455" s="25" t="s">
        <v>501</v>
      </c>
    </row>
    <row r="456" spans="1:16" s="25" customFormat="1" x14ac:dyDescent="0.25">
      <c r="A456" s="25" t="s">
        <v>27</v>
      </c>
      <c r="B456" s="25" t="s">
        <v>35</v>
      </c>
      <c r="C456" s="25">
        <v>5000</v>
      </c>
      <c r="D456" s="25">
        <v>85</v>
      </c>
      <c r="E456" s="25">
        <f t="shared" si="31"/>
        <v>0.13500000000000001</v>
      </c>
      <c r="F456" s="25">
        <v>65</v>
      </c>
      <c r="G456" s="25">
        <v>25</v>
      </c>
      <c r="H456" s="25">
        <v>150</v>
      </c>
      <c r="I456" s="25">
        <f t="shared" si="29"/>
        <v>85</v>
      </c>
      <c r="J456" s="25">
        <f t="shared" si="30"/>
        <v>85</v>
      </c>
      <c r="K456" s="27">
        <f t="shared" si="32"/>
        <v>245</v>
      </c>
      <c r="L456" s="27">
        <v>50000</v>
      </c>
      <c r="M456" s="27">
        <v>74000</v>
      </c>
      <c r="N456" s="28">
        <v>125</v>
      </c>
      <c r="P456" s="25" t="s">
        <v>502</v>
      </c>
    </row>
    <row r="457" spans="1:16" s="25" customFormat="1" x14ac:dyDescent="0.25">
      <c r="A457" s="25" t="s">
        <v>27</v>
      </c>
      <c r="B457" s="25" t="s">
        <v>35</v>
      </c>
      <c r="C457" s="25">
        <v>5000</v>
      </c>
      <c r="D457" s="26">
        <v>86</v>
      </c>
      <c r="E457" s="25">
        <f t="shared" si="31"/>
        <v>0.13500000000000001</v>
      </c>
      <c r="F457" s="25">
        <v>65</v>
      </c>
      <c r="G457" s="25">
        <v>25</v>
      </c>
      <c r="H457" s="25">
        <v>150</v>
      </c>
      <c r="I457" s="25">
        <f t="shared" si="29"/>
        <v>86</v>
      </c>
      <c r="J457" s="25">
        <f t="shared" si="30"/>
        <v>86</v>
      </c>
      <c r="K457" s="27">
        <f t="shared" si="32"/>
        <v>246</v>
      </c>
      <c r="L457" s="27">
        <v>50000</v>
      </c>
      <c r="M457" s="27">
        <v>74000</v>
      </c>
      <c r="N457" s="28">
        <v>125</v>
      </c>
      <c r="P457" s="25" t="s">
        <v>503</v>
      </c>
    </row>
    <row r="458" spans="1:16" s="25" customFormat="1" x14ac:dyDescent="0.25">
      <c r="A458" s="25" t="s">
        <v>27</v>
      </c>
      <c r="B458" s="25" t="s">
        <v>35</v>
      </c>
      <c r="C458" s="25">
        <v>5000</v>
      </c>
      <c r="D458" s="26">
        <v>87</v>
      </c>
      <c r="E458" s="25">
        <f t="shared" si="31"/>
        <v>0.13500000000000001</v>
      </c>
      <c r="F458" s="25">
        <v>65</v>
      </c>
      <c r="G458" s="25">
        <v>25</v>
      </c>
      <c r="H458" s="25">
        <v>150</v>
      </c>
      <c r="I458" s="25">
        <f t="shared" si="29"/>
        <v>87</v>
      </c>
      <c r="J458" s="25">
        <f t="shared" si="30"/>
        <v>87</v>
      </c>
      <c r="K458" s="27">
        <f t="shared" si="32"/>
        <v>247</v>
      </c>
      <c r="L458" s="27">
        <v>50000</v>
      </c>
      <c r="M458" s="27">
        <v>74000</v>
      </c>
      <c r="N458" s="28">
        <v>125</v>
      </c>
      <c r="P458" s="25" t="s">
        <v>504</v>
      </c>
    </row>
    <row r="459" spans="1:16" s="25" customFormat="1" x14ac:dyDescent="0.25">
      <c r="A459" s="25" t="s">
        <v>27</v>
      </c>
      <c r="B459" s="25" t="s">
        <v>35</v>
      </c>
      <c r="C459" s="25">
        <v>5000</v>
      </c>
      <c r="D459" s="25">
        <v>88</v>
      </c>
      <c r="E459" s="25">
        <f t="shared" si="31"/>
        <v>0.13500000000000001</v>
      </c>
      <c r="F459" s="25">
        <v>65</v>
      </c>
      <c r="G459" s="25">
        <v>25</v>
      </c>
      <c r="H459" s="25">
        <v>150</v>
      </c>
      <c r="I459" s="25">
        <f t="shared" si="29"/>
        <v>88</v>
      </c>
      <c r="J459" s="25">
        <f t="shared" si="30"/>
        <v>88</v>
      </c>
      <c r="K459" s="27">
        <f t="shared" si="32"/>
        <v>248</v>
      </c>
      <c r="L459" s="27">
        <v>50000</v>
      </c>
      <c r="M459" s="27">
        <v>74000</v>
      </c>
      <c r="N459" s="28">
        <v>125</v>
      </c>
      <c r="P459" s="25" t="s">
        <v>505</v>
      </c>
    </row>
    <row r="460" spans="1:16" s="25" customFormat="1" x14ac:dyDescent="0.25">
      <c r="A460" s="25" t="s">
        <v>27</v>
      </c>
      <c r="B460" s="25" t="s">
        <v>35</v>
      </c>
      <c r="C460" s="25">
        <v>5000</v>
      </c>
      <c r="D460" s="26">
        <v>89</v>
      </c>
      <c r="E460" s="25">
        <f t="shared" si="31"/>
        <v>0.13500000000000001</v>
      </c>
      <c r="F460" s="25">
        <v>65</v>
      </c>
      <c r="G460" s="25">
        <v>25</v>
      </c>
      <c r="H460" s="25">
        <v>150</v>
      </c>
      <c r="I460" s="25">
        <f t="shared" si="29"/>
        <v>89</v>
      </c>
      <c r="J460" s="25">
        <f t="shared" si="30"/>
        <v>89</v>
      </c>
      <c r="K460" s="27">
        <f t="shared" si="32"/>
        <v>249</v>
      </c>
      <c r="L460" s="27">
        <v>50000</v>
      </c>
      <c r="M460" s="27">
        <v>74000</v>
      </c>
      <c r="N460" s="28">
        <v>125</v>
      </c>
      <c r="P460" s="25" t="s">
        <v>506</v>
      </c>
    </row>
    <row r="461" spans="1:16" s="25" customFormat="1" x14ac:dyDescent="0.25">
      <c r="A461" s="25" t="s">
        <v>27</v>
      </c>
      <c r="B461" s="25" t="s">
        <v>35</v>
      </c>
      <c r="C461" s="25">
        <v>5000</v>
      </c>
      <c r="D461" s="26">
        <v>90</v>
      </c>
      <c r="E461" s="25">
        <f t="shared" si="31"/>
        <v>0.13500000000000001</v>
      </c>
      <c r="F461" s="25">
        <v>65</v>
      </c>
      <c r="G461" s="25">
        <v>25</v>
      </c>
      <c r="H461" s="25">
        <v>150</v>
      </c>
      <c r="I461" s="25">
        <f t="shared" si="29"/>
        <v>90</v>
      </c>
      <c r="J461" s="25">
        <f t="shared" si="30"/>
        <v>90</v>
      </c>
      <c r="K461" s="27">
        <f t="shared" si="32"/>
        <v>250</v>
      </c>
      <c r="L461" s="27">
        <v>50000</v>
      </c>
      <c r="M461" s="27">
        <v>74000</v>
      </c>
      <c r="N461" s="28">
        <v>125</v>
      </c>
      <c r="P461" s="25" t="s">
        <v>507</v>
      </c>
    </row>
    <row r="462" spans="1:16" s="25" customFormat="1" x14ac:dyDescent="0.25">
      <c r="A462" s="25" t="s">
        <v>27</v>
      </c>
      <c r="B462" s="25" t="s">
        <v>35</v>
      </c>
      <c r="C462" s="25">
        <v>5000</v>
      </c>
      <c r="D462" s="25">
        <v>91</v>
      </c>
      <c r="E462" s="25">
        <f t="shared" si="31"/>
        <v>0.13500000000000001</v>
      </c>
      <c r="F462" s="25">
        <v>65</v>
      </c>
      <c r="G462" s="25">
        <v>25</v>
      </c>
      <c r="H462" s="25">
        <v>150</v>
      </c>
      <c r="I462" s="25">
        <f t="shared" si="29"/>
        <v>91</v>
      </c>
      <c r="J462" s="25">
        <f t="shared" si="30"/>
        <v>91</v>
      </c>
      <c r="K462" s="27">
        <f t="shared" si="32"/>
        <v>251</v>
      </c>
      <c r="L462" s="27">
        <v>50000</v>
      </c>
      <c r="M462" s="27">
        <v>74000</v>
      </c>
      <c r="N462" s="28">
        <v>125</v>
      </c>
      <c r="P462" s="25" t="s">
        <v>508</v>
      </c>
    </row>
    <row r="463" spans="1:16" s="25" customFormat="1" x14ac:dyDescent="0.25">
      <c r="A463" s="25" t="s">
        <v>27</v>
      </c>
      <c r="B463" s="25" t="s">
        <v>35</v>
      </c>
      <c r="C463" s="25">
        <v>5000</v>
      </c>
      <c r="D463" s="26">
        <v>92</v>
      </c>
      <c r="E463" s="25">
        <f t="shared" si="31"/>
        <v>0.13500000000000001</v>
      </c>
      <c r="F463" s="25">
        <v>65</v>
      </c>
      <c r="G463" s="25">
        <v>25</v>
      </c>
      <c r="H463" s="25">
        <v>150</v>
      </c>
      <c r="I463" s="25">
        <f t="shared" si="29"/>
        <v>92</v>
      </c>
      <c r="J463" s="25">
        <f t="shared" si="30"/>
        <v>92</v>
      </c>
      <c r="K463" s="27">
        <f t="shared" si="32"/>
        <v>252</v>
      </c>
      <c r="L463" s="27">
        <v>50000</v>
      </c>
      <c r="M463" s="27">
        <v>74000</v>
      </c>
      <c r="N463" s="28">
        <v>125</v>
      </c>
      <c r="P463" s="25" t="s">
        <v>509</v>
      </c>
    </row>
    <row r="464" spans="1:16" s="25" customFormat="1" x14ac:dyDescent="0.25">
      <c r="A464" s="25" t="s">
        <v>27</v>
      </c>
      <c r="B464" s="25" t="s">
        <v>35</v>
      </c>
      <c r="C464" s="25">
        <v>5000</v>
      </c>
      <c r="D464" s="26">
        <v>93</v>
      </c>
      <c r="E464" s="25">
        <f t="shared" si="31"/>
        <v>0.13500000000000001</v>
      </c>
      <c r="F464" s="25">
        <v>65</v>
      </c>
      <c r="G464" s="25">
        <v>25</v>
      </c>
      <c r="H464" s="25">
        <v>150</v>
      </c>
      <c r="I464" s="25">
        <f t="shared" ref="I464:I527" si="33">D464</f>
        <v>93</v>
      </c>
      <c r="J464" s="25">
        <f t="shared" ref="J464:J527" si="34">D464</f>
        <v>93</v>
      </c>
      <c r="K464" s="27">
        <f t="shared" si="32"/>
        <v>253</v>
      </c>
      <c r="L464" s="27">
        <v>50000</v>
      </c>
      <c r="M464" s="27">
        <v>74000</v>
      </c>
      <c r="N464" s="28">
        <v>125</v>
      </c>
      <c r="P464" s="25" t="s">
        <v>510</v>
      </c>
    </row>
    <row r="465" spans="1:16" s="25" customFormat="1" x14ac:dyDescent="0.25">
      <c r="A465" s="25" t="s">
        <v>27</v>
      </c>
      <c r="B465" s="25" t="s">
        <v>35</v>
      </c>
      <c r="C465" s="25">
        <v>5000</v>
      </c>
      <c r="D465" s="25">
        <v>94</v>
      </c>
      <c r="E465" s="25">
        <f t="shared" si="31"/>
        <v>0.13500000000000001</v>
      </c>
      <c r="F465" s="25">
        <v>65</v>
      </c>
      <c r="G465" s="25">
        <v>25</v>
      </c>
      <c r="H465" s="25">
        <v>150</v>
      </c>
      <c r="I465" s="25">
        <f t="shared" si="33"/>
        <v>94</v>
      </c>
      <c r="J465" s="25">
        <f t="shared" si="34"/>
        <v>94</v>
      </c>
      <c r="K465" s="27">
        <f t="shared" si="32"/>
        <v>254</v>
      </c>
      <c r="L465" s="27">
        <v>50000</v>
      </c>
      <c r="M465" s="27">
        <v>74000</v>
      </c>
      <c r="N465" s="28">
        <v>125</v>
      </c>
      <c r="P465" s="25" t="s">
        <v>511</v>
      </c>
    </row>
    <row r="466" spans="1:16" s="25" customFormat="1" x14ac:dyDescent="0.25">
      <c r="A466" s="25" t="s">
        <v>27</v>
      </c>
      <c r="B466" s="25" t="s">
        <v>35</v>
      </c>
      <c r="C466" s="25">
        <v>5000</v>
      </c>
      <c r="D466" s="26">
        <v>95</v>
      </c>
      <c r="E466" s="25">
        <f t="shared" si="31"/>
        <v>0.13500000000000001</v>
      </c>
      <c r="F466" s="25">
        <v>65</v>
      </c>
      <c r="G466" s="25">
        <v>25</v>
      </c>
      <c r="H466" s="25">
        <v>150</v>
      </c>
      <c r="I466" s="25">
        <f t="shared" si="33"/>
        <v>95</v>
      </c>
      <c r="J466" s="25">
        <f t="shared" si="34"/>
        <v>95</v>
      </c>
      <c r="K466" s="27">
        <f t="shared" si="32"/>
        <v>255</v>
      </c>
      <c r="L466" s="27">
        <v>50000</v>
      </c>
      <c r="M466" s="27">
        <v>74000</v>
      </c>
      <c r="N466" s="28">
        <v>125</v>
      </c>
      <c r="P466" s="25" t="s">
        <v>512</v>
      </c>
    </row>
    <row r="467" spans="1:16" s="25" customFormat="1" x14ac:dyDescent="0.25">
      <c r="A467" s="25" t="s">
        <v>27</v>
      </c>
      <c r="B467" s="25" t="s">
        <v>35</v>
      </c>
      <c r="C467" s="25">
        <v>5000</v>
      </c>
      <c r="D467" s="26">
        <v>96</v>
      </c>
      <c r="E467" s="25">
        <f t="shared" si="31"/>
        <v>0.13500000000000001</v>
      </c>
      <c r="F467" s="25">
        <v>65</v>
      </c>
      <c r="G467" s="25">
        <v>25</v>
      </c>
      <c r="H467" s="25">
        <v>150</v>
      </c>
      <c r="I467" s="25">
        <f t="shared" si="33"/>
        <v>96</v>
      </c>
      <c r="J467" s="25">
        <f t="shared" si="34"/>
        <v>96</v>
      </c>
      <c r="K467" s="27">
        <f t="shared" si="32"/>
        <v>256</v>
      </c>
      <c r="L467" s="27">
        <v>50000</v>
      </c>
      <c r="M467" s="27">
        <v>74000</v>
      </c>
      <c r="N467" s="28">
        <v>125</v>
      </c>
      <c r="P467" s="25" t="s">
        <v>513</v>
      </c>
    </row>
    <row r="468" spans="1:16" s="25" customFormat="1" x14ac:dyDescent="0.25">
      <c r="A468" s="25" t="s">
        <v>27</v>
      </c>
      <c r="B468" s="25" t="s">
        <v>35</v>
      </c>
      <c r="C468" s="25">
        <v>5000</v>
      </c>
      <c r="D468" s="25">
        <v>97</v>
      </c>
      <c r="E468" s="25">
        <f t="shared" si="31"/>
        <v>0.13500000000000001</v>
      </c>
      <c r="F468" s="25">
        <v>65</v>
      </c>
      <c r="G468" s="25">
        <v>25</v>
      </c>
      <c r="H468" s="25">
        <v>150</v>
      </c>
      <c r="I468" s="25">
        <f t="shared" si="33"/>
        <v>97</v>
      </c>
      <c r="J468" s="25">
        <f t="shared" si="34"/>
        <v>97</v>
      </c>
      <c r="K468" s="27">
        <f t="shared" si="32"/>
        <v>257</v>
      </c>
      <c r="L468" s="27">
        <v>50000</v>
      </c>
      <c r="M468" s="27">
        <v>74000</v>
      </c>
      <c r="N468" s="28">
        <v>125</v>
      </c>
      <c r="P468" s="25" t="s">
        <v>514</v>
      </c>
    </row>
    <row r="469" spans="1:16" s="25" customFormat="1" x14ac:dyDescent="0.25">
      <c r="A469" s="25" t="s">
        <v>27</v>
      </c>
      <c r="B469" s="25" t="s">
        <v>35</v>
      </c>
      <c r="C469" s="25">
        <v>5000</v>
      </c>
      <c r="D469" s="26">
        <v>98</v>
      </c>
      <c r="E469" s="25">
        <f t="shared" si="31"/>
        <v>0.13500000000000001</v>
      </c>
      <c r="F469" s="25">
        <v>65</v>
      </c>
      <c r="G469" s="25">
        <v>25</v>
      </c>
      <c r="H469" s="25">
        <v>150</v>
      </c>
      <c r="I469" s="25">
        <f t="shared" si="33"/>
        <v>98</v>
      </c>
      <c r="J469" s="25">
        <f t="shared" si="34"/>
        <v>98</v>
      </c>
      <c r="K469" s="27">
        <f t="shared" si="32"/>
        <v>258</v>
      </c>
      <c r="L469" s="27">
        <v>50000</v>
      </c>
      <c r="M469" s="27">
        <v>74000</v>
      </c>
      <c r="N469" s="28">
        <v>125</v>
      </c>
      <c r="P469" s="25" t="s">
        <v>515</v>
      </c>
    </row>
    <row r="470" spans="1:16" s="25" customFormat="1" x14ac:dyDescent="0.25">
      <c r="A470" s="25" t="s">
        <v>27</v>
      </c>
      <c r="B470" s="25" t="s">
        <v>35</v>
      </c>
      <c r="C470" s="25">
        <v>5000</v>
      </c>
      <c r="D470" s="26">
        <v>99</v>
      </c>
      <c r="E470" s="25">
        <f t="shared" si="31"/>
        <v>0.13500000000000001</v>
      </c>
      <c r="F470" s="25">
        <v>65</v>
      </c>
      <c r="G470" s="25">
        <v>25</v>
      </c>
      <c r="H470" s="25">
        <v>150</v>
      </c>
      <c r="I470" s="25">
        <f t="shared" si="33"/>
        <v>99</v>
      </c>
      <c r="J470" s="25">
        <f t="shared" si="34"/>
        <v>99</v>
      </c>
      <c r="K470" s="27">
        <f t="shared" si="32"/>
        <v>259</v>
      </c>
      <c r="L470" s="27">
        <v>50000</v>
      </c>
      <c r="M470" s="27">
        <v>74000</v>
      </c>
      <c r="N470" s="28">
        <v>125</v>
      </c>
      <c r="P470" s="25" t="s">
        <v>516</v>
      </c>
    </row>
    <row r="471" spans="1:16" s="25" customFormat="1" x14ac:dyDescent="0.25">
      <c r="A471" s="25" t="s">
        <v>27</v>
      </c>
      <c r="B471" s="25" t="s">
        <v>35</v>
      </c>
      <c r="C471" s="25">
        <v>5000</v>
      </c>
      <c r="D471" s="25">
        <v>100</v>
      </c>
      <c r="E471" s="25">
        <f t="shared" si="31"/>
        <v>0.13500000000000001</v>
      </c>
      <c r="F471" s="25">
        <v>65</v>
      </c>
      <c r="G471" s="25">
        <v>25</v>
      </c>
      <c r="H471" s="25">
        <v>150</v>
      </c>
      <c r="I471" s="25">
        <f t="shared" si="33"/>
        <v>100</v>
      </c>
      <c r="J471" s="25">
        <f t="shared" si="34"/>
        <v>100</v>
      </c>
      <c r="K471" s="27">
        <f t="shared" si="32"/>
        <v>260</v>
      </c>
      <c r="L471" s="27">
        <v>50000</v>
      </c>
      <c r="M471" s="27">
        <v>74000</v>
      </c>
      <c r="N471" s="28">
        <v>125</v>
      </c>
      <c r="P471" s="25" t="s">
        <v>517</v>
      </c>
    </row>
    <row r="472" spans="1:16" s="25" customFormat="1" x14ac:dyDescent="0.25">
      <c r="A472" s="25" t="s">
        <v>27</v>
      </c>
      <c r="B472" s="25" t="s">
        <v>35</v>
      </c>
      <c r="C472" s="25">
        <v>5000</v>
      </c>
      <c r="D472" s="26">
        <v>101</v>
      </c>
      <c r="E472" s="25">
        <f t="shared" si="31"/>
        <v>0.13500000000000001</v>
      </c>
      <c r="F472" s="25">
        <v>65</v>
      </c>
      <c r="G472" s="25">
        <v>25</v>
      </c>
      <c r="H472" s="25">
        <v>150</v>
      </c>
      <c r="I472" s="25">
        <f t="shared" si="33"/>
        <v>101</v>
      </c>
      <c r="J472" s="25">
        <f t="shared" si="34"/>
        <v>101</v>
      </c>
      <c r="K472" s="27">
        <f t="shared" si="32"/>
        <v>261</v>
      </c>
      <c r="L472" s="27">
        <v>50000</v>
      </c>
      <c r="M472" s="27">
        <v>74000</v>
      </c>
      <c r="N472" s="28">
        <v>125</v>
      </c>
      <c r="P472" s="25" t="s">
        <v>518</v>
      </c>
    </row>
    <row r="473" spans="1:16" s="25" customFormat="1" x14ac:dyDescent="0.25">
      <c r="A473" s="25" t="s">
        <v>27</v>
      </c>
      <c r="B473" s="25" t="s">
        <v>35</v>
      </c>
      <c r="C473" s="25">
        <v>5000</v>
      </c>
      <c r="D473" s="26">
        <v>102</v>
      </c>
      <c r="E473" s="25">
        <f t="shared" si="31"/>
        <v>0.13500000000000001</v>
      </c>
      <c r="F473" s="25">
        <v>65</v>
      </c>
      <c r="G473" s="25">
        <v>25</v>
      </c>
      <c r="H473" s="25">
        <v>150</v>
      </c>
      <c r="I473" s="25">
        <f t="shared" si="33"/>
        <v>102</v>
      </c>
      <c r="J473" s="25">
        <f t="shared" si="34"/>
        <v>102</v>
      </c>
      <c r="K473" s="27">
        <f t="shared" si="32"/>
        <v>262</v>
      </c>
      <c r="L473" s="27">
        <v>50000</v>
      </c>
      <c r="M473" s="27">
        <v>74000</v>
      </c>
      <c r="N473" s="28">
        <v>125</v>
      </c>
      <c r="P473" s="25" t="s">
        <v>519</v>
      </c>
    </row>
    <row r="474" spans="1:16" s="25" customFormat="1" x14ac:dyDescent="0.25">
      <c r="A474" s="25" t="s">
        <v>27</v>
      </c>
      <c r="B474" s="25" t="s">
        <v>35</v>
      </c>
      <c r="C474" s="25">
        <v>5000</v>
      </c>
      <c r="D474" s="25">
        <v>103</v>
      </c>
      <c r="E474" s="25">
        <f t="shared" si="31"/>
        <v>0.13500000000000001</v>
      </c>
      <c r="F474" s="25">
        <v>65</v>
      </c>
      <c r="G474" s="25">
        <v>25</v>
      </c>
      <c r="H474" s="25">
        <v>150</v>
      </c>
      <c r="I474" s="25">
        <f t="shared" si="33"/>
        <v>103</v>
      </c>
      <c r="J474" s="25">
        <f t="shared" si="34"/>
        <v>103</v>
      </c>
      <c r="K474" s="27">
        <f t="shared" si="32"/>
        <v>263</v>
      </c>
      <c r="L474" s="27">
        <v>50000</v>
      </c>
      <c r="M474" s="27">
        <v>74000</v>
      </c>
      <c r="N474" s="28">
        <v>125</v>
      </c>
      <c r="P474" s="25" t="s">
        <v>520</v>
      </c>
    </row>
    <row r="475" spans="1:16" s="25" customFormat="1" x14ac:dyDescent="0.25">
      <c r="A475" s="25" t="s">
        <v>27</v>
      </c>
      <c r="B475" s="25" t="s">
        <v>35</v>
      </c>
      <c r="C475" s="25">
        <v>5000</v>
      </c>
      <c r="D475" s="26">
        <v>104</v>
      </c>
      <c r="E475" s="25">
        <f t="shared" si="31"/>
        <v>0.13500000000000001</v>
      </c>
      <c r="F475" s="25">
        <v>65</v>
      </c>
      <c r="G475" s="25">
        <v>25</v>
      </c>
      <c r="H475" s="25">
        <v>150</v>
      </c>
      <c r="I475" s="25">
        <f t="shared" si="33"/>
        <v>104</v>
      </c>
      <c r="J475" s="25">
        <f t="shared" si="34"/>
        <v>104</v>
      </c>
      <c r="K475" s="27">
        <f t="shared" si="32"/>
        <v>264</v>
      </c>
      <c r="L475" s="27">
        <v>50000</v>
      </c>
      <c r="M475" s="27">
        <v>74000</v>
      </c>
      <c r="N475" s="28">
        <v>125</v>
      </c>
      <c r="P475" s="25" t="s">
        <v>521</v>
      </c>
    </row>
    <row r="476" spans="1:16" s="25" customFormat="1" x14ac:dyDescent="0.25">
      <c r="A476" s="25" t="s">
        <v>27</v>
      </c>
      <c r="B476" s="25" t="s">
        <v>35</v>
      </c>
      <c r="C476" s="25">
        <v>5000</v>
      </c>
      <c r="D476" s="26">
        <v>105</v>
      </c>
      <c r="E476" s="25">
        <f t="shared" si="31"/>
        <v>0.13500000000000001</v>
      </c>
      <c r="F476" s="25">
        <v>65</v>
      </c>
      <c r="G476" s="25">
        <v>25</v>
      </c>
      <c r="H476" s="25">
        <v>150</v>
      </c>
      <c r="I476" s="25">
        <f t="shared" si="33"/>
        <v>105</v>
      </c>
      <c r="J476" s="25">
        <f t="shared" si="34"/>
        <v>105</v>
      </c>
      <c r="K476" s="27">
        <f t="shared" si="32"/>
        <v>265</v>
      </c>
      <c r="L476" s="27">
        <v>50000</v>
      </c>
      <c r="M476" s="27">
        <v>74000</v>
      </c>
      <c r="N476" s="28">
        <v>125</v>
      </c>
      <c r="P476" s="25" t="s">
        <v>522</v>
      </c>
    </row>
    <row r="477" spans="1:16" s="25" customFormat="1" x14ac:dyDescent="0.25">
      <c r="A477" s="25" t="s">
        <v>27</v>
      </c>
      <c r="B477" s="25" t="s">
        <v>35</v>
      </c>
      <c r="C477" s="25">
        <v>5000</v>
      </c>
      <c r="D477" s="25">
        <v>106</v>
      </c>
      <c r="E477" s="25">
        <f t="shared" si="31"/>
        <v>0.13500000000000001</v>
      </c>
      <c r="F477" s="25">
        <v>65</v>
      </c>
      <c r="G477" s="25">
        <v>25</v>
      </c>
      <c r="H477" s="25">
        <v>150</v>
      </c>
      <c r="I477" s="25">
        <f t="shared" si="33"/>
        <v>106</v>
      </c>
      <c r="J477" s="25">
        <f t="shared" si="34"/>
        <v>106</v>
      </c>
      <c r="K477" s="27">
        <f t="shared" si="32"/>
        <v>266</v>
      </c>
      <c r="L477" s="27">
        <v>50000</v>
      </c>
      <c r="M477" s="27">
        <v>74000</v>
      </c>
      <c r="N477" s="28">
        <v>125</v>
      </c>
      <c r="P477" s="25" t="s">
        <v>523</v>
      </c>
    </row>
    <row r="478" spans="1:16" s="25" customFormat="1" x14ac:dyDescent="0.25">
      <c r="A478" s="25" t="s">
        <v>27</v>
      </c>
      <c r="B478" s="25" t="s">
        <v>35</v>
      </c>
      <c r="C478" s="25">
        <v>5000</v>
      </c>
      <c r="D478" s="26">
        <v>107</v>
      </c>
      <c r="E478" s="25">
        <f t="shared" si="31"/>
        <v>0.13500000000000001</v>
      </c>
      <c r="F478" s="25">
        <v>65</v>
      </c>
      <c r="G478" s="25">
        <v>25</v>
      </c>
      <c r="H478" s="25">
        <v>150</v>
      </c>
      <c r="I478" s="25">
        <f t="shared" si="33"/>
        <v>107</v>
      </c>
      <c r="J478" s="25">
        <f t="shared" si="34"/>
        <v>107</v>
      </c>
      <c r="K478" s="27">
        <f t="shared" si="32"/>
        <v>267</v>
      </c>
      <c r="L478" s="27">
        <v>50000</v>
      </c>
      <c r="M478" s="27">
        <v>74000</v>
      </c>
      <c r="N478" s="28">
        <v>125</v>
      </c>
      <c r="P478" s="25" t="s">
        <v>524</v>
      </c>
    </row>
    <row r="479" spans="1:16" s="25" customFormat="1" x14ac:dyDescent="0.25">
      <c r="A479" s="25" t="s">
        <v>27</v>
      </c>
      <c r="B479" s="25" t="s">
        <v>35</v>
      </c>
      <c r="C479" s="25">
        <v>5000</v>
      </c>
      <c r="D479" s="26">
        <v>108</v>
      </c>
      <c r="E479" s="25">
        <f t="shared" si="31"/>
        <v>0.13500000000000001</v>
      </c>
      <c r="F479" s="25">
        <v>65</v>
      </c>
      <c r="G479" s="25">
        <v>25</v>
      </c>
      <c r="H479" s="25">
        <v>150</v>
      </c>
      <c r="I479" s="25">
        <f t="shared" si="33"/>
        <v>108</v>
      </c>
      <c r="J479" s="25">
        <f t="shared" si="34"/>
        <v>108</v>
      </c>
      <c r="K479" s="27">
        <f t="shared" si="32"/>
        <v>268</v>
      </c>
      <c r="L479" s="27">
        <v>50000</v>
      </c>
      <c r="M479" s="27">
        <v>74000</v>
      </c>
      <c r="N479" s="28">
        <v>125</v>
      </c>
      <c r="P479" s="25" t="s">
        <v>525</v>
      </c>
    </row>
    <row r="480" spans="1:16" s="25" customFormat="1" x14ac:dyDescent="0.25">
      <c r="A480" s="25" t="s">
        <v>27</v>
      </c>
      <c r="B480" s="25" t="s">
        <v>35</v>
      </c>
      <c r="C480" s="25">
        <v>5000</v>
      </c>
      <c r="D480" s="25">
        <v>109</v>
      </c>
      <c r="E480" s="25">
        <f t="shared" si="31"/>
        <v>0.13500000000000001</v>
      </c>
      <c r="F480" s="25">
        <v>65</v>
      </c>
      <c r="G480" s="25">
        <v>25</v>
      </c>
      <c r="H480" s="25">
        <v>150</v>
      </c>
      <c r="I480" s="25">
        <f t="shared" si="33"/>
        <v>109</v>
      </c>
      <c r="J480" s="25">
        <f t="shared" si="34"/>
        <v>109</v>
      </c>
      <c r="K480" s="27">
        <f t="shared" si="32"/>
        <v>269</v>
      </c>
      <c r="L480" s="27">
        <v>50000</v>
      </c>
      <c r="M480" s="27">
        <v>74000</v>
      </c>
      <c r="N480" s="28">
        <v>125</v>
      </c>
      <c r="P480" s="25" t="s">
        <v>526</v>
      </c>
    </row>
    <row r="481" spans="1:16" s="25" customFormat="1" x14ac:dyDescent="0.25">
      <c r="A481" s="25" t="s">
        <v>27</v>
      </c>
      <c r="B481" s="25" t="s">
        <v>35</v>
      </c>
      <c r="C481" s="25">
        <v>5000</v>
      </c>
      <c r="D481" s="26">
        <v>110</v>
      </c>
      <c r="E481" s="25">
        <f t="shared" si="31"/>
        <v>0.13500000000000001</v>
      </c>
      <c r="F481" s="25">
        <v>65</v>
      </c>
      <c r="G481" s="25">
        <v>25</v>
      </c>
      <c r="H481" s="25">
        <v>150</v>
      </c>
      <c r="I481" s="25">
        <f t="shared" si="33"/>
        <v>110</v>
      </c>
      <c r="J481" s="25">
        <f t="shared" si="34"/>
        <v>110</v>
      </c>
      <c r="K481" s="27">
        <f t="shared" si="32"/>
        <v>270</v>
      </c>
      <c r="L481" s="27">
        <v>50000</v>
      </c>
      <c r="M481" s="27">
        <v>74000</v>
      </c>
      <c r="N481" s="28">
        <v>125</v>
      </c>
      <c r="P481" s="25" t="s">
        <v>527</v>
      </c>
    </row>
    <row r="482" spans="1:16" s="25" customFormat="1" x14ac:dyDescent="0.25">
      <c r="A482" s="25" t="s">
        <v>27</v>
      </c>
      <c r="B482" s="25" t="s">
        <v>35</v>
      </c>
      <c r="C482" s="25">
        <v>5000</v>
      </c>
      <c r="D482" s="26">
        <v>111</v>
      </c>
      <c r="E482" s="25">
        <f t="shared" si="31"/>
        <v>0.13500000000000001</v>
      </c>
      <c r="F482" s="25">
        <v>65</v>
      </c>
      <c r="G482" s="25">
        <v>25</v>
      </c>
      <c r="H482" s="25">
        <v>150</v>
      </c>
      <c r="I482" s="25">
        <f t="shared" si="33"/>
        <v>111</v>
      </c>
      <c r="J482" s="25">
        <f t="shared" si="34"/>
        <v>111</v>
      </c>
      <c r="K482" s="27">
        <f t="shared" si="32"/>
        <v>271</v>
      </c>
      <c r="L482" s="27">
        <v>50000</v>
      </c>
      <c r="M482" s="27">
        <v>74000</v>
      </c>
      <c r="N482" s="28">
        <v>125</v>
      </c>
      <c r="P482" s="25" t="s">
        <v>528</v>
      </c>
    </row>
    <row r="483" spans="1:16" s="25" customFormat="1" x14ac:dyDescent="0.25">
      <c r="A483" s="25" t="s">
        <v>27</v>
      </c>
      <c r="B483" s="25" t="s">
        <v>35</v>
      </c>
      <c r="C483" s="25">
        <v>5000</v>
      </c>
      <c r="D483" s="25">
        <v>112</v>
      </c>
      <c r="E483" s="25">
        <f t="shared" si="31"/>
        <v>0.13500000000000001</v>
      </c>
      <c r="F483" s="25">
        <v>65</v>
      </c>
      <c r="G483" s="25">
        <v>25</v>
      </c>
      <c r="H483" s="25">
        <v>150</v>
      </c>
      <c r="I483" s="25">
        <f t="shared" si="33"/>
        <v>112</v>
      </c>
      <c r="J483" s="25">
        <f t="shared" si="34"/>
        <v>112</v>
      </c>
      <c r="K483" s="27">
        <f t="shared" si="32"/>
        <v>272</v>
      </c>
      <c r="L483" s="27">
        <v>50000</v>
      </c>
      <c r="M483" s="27">
        <v>74000</v>
      </c>
      <c r="N483" s="28">
        <v>125</v>
      </c>
      <c r="P483" s="25" t="s">
        <v>529</v>
      </c>
    </row>
    <row r="484" spans="1:16" s="25" customFormat="1" x14ac:dyDescent="0.25">
      <c r="A484" s="25" t="s">
        <v>27</v>
      </c>
      <c r="B484" s="25" t="s">
        <v>35</v>
      </c>
      <c r="C484" s="25">
        <v>5000</v>
      </c>
      <c r="D484" s="26">
        <v>113</v>
      </c>
      <c r="E484" s="25">
        <f t="shared" si="31"/>
        <v>0.13500000000000001</v>
      </c>
      <c r="F484" s="25">
        <v>65</v>
      </c>
      <c r="G484" s="25">
        <v>25</v>
      </c>
      <c r="H484" s="25">
        <v>150</v>
      </c>
      <c r="I484" s="25">
        <f t="shared" si="33"/>
        <v>113</v>
      </c>
      <c r="J484" s="25">
        <f t="shared" si="34"/>
        <v>113</v>
      </c>
      <c r="K484" s="27">
        <f t="shared" si="32"/>
        <v>273</v>
      </c>
      <c r="L484" s="27">
        <v>50000</v>
      </c>
      <c r="M484" s="27">
        <v>74000</v>
      </c>
      <c r="N484" s="28">
        <v>125</v>
      </c>
      <c r="P484" s="25" t="s">
        <v>530</v>
      </c>
    </row>
    <row r="485" spans="1:16" s="25" customFormat="1" x14ac:dyDescent="0.25">
      <c r="A485" s="25" t="s">
        <v>27</v>
      </c>
      <c r="B485" s="25" t="s">
        <v>35</v>
      </c>
      <c r="C485" s="25">
        <v>5000</v>
      </c>
      <c r="D485" s="26">
        <v>114</v>
      </c>
      <c r="E485" s="25">
        <f t="shared" si="31"/>
        <v>0.13500000000000001</v>
      </c>
      <c r="F485" s="25">
        <v>65</v>
      </c>
      <c r="G485" s="25">
        <v>25</v>
      </c>
      <c r="H485" s="25">
        <v>150</v>
      </c>
      <c r="I485" s="25">
        <f t="shared" si="33"/>
        <v>114</v>
      </c>
      <c r="J485" s="25">
        <f t="shared" si="34"/>
        <v>114</v>
      </c>
      <c r="K485" s="27">
        <f t="shared" si="32"/>
        <v>274</v>
      </c>
      <c r="L485" s="27">
        <v>50000</v>
      </c>
      <c r="M485" s="27">
        <v>74000</v>
      </c>
      <c r="N485" s="28">
        <v>125</v>
      </c>
      <c r="P485" s="25" t="s">
        <v>531</v>
      </c>
    </row>
    <row r="486" spans="1:16" s="25" customFormat="1" x14ac:dyDescent="0.25">
      <c r="A486" s="25" t="s">
        <v>27</v>
      </c>
      <c r="B486" s="25" t="s">
        <v>35</v>
      </c>
      <c r="C486" s="25">
        <v>5000</v>
      </c>
      <c r="D486" s="25">
        <v>115</v>
      </c>
      <c r="E486" s="25">
        <f t="shared" si="31"/>
        <v>0.13500000000000001</v>
      </c>
      <c r="F486" s="25">
        <v>65</v>
      </c>
      <c r="G486" s="25">
        <v>25</v>
      </c>
      <c r="H486" s="25">
        <v>150</v>
      </c>
      <c r="I486" s="25">
        <f t="shared" si="33"/>
        <v>115</v>
      </c>
      <c r="J486" s="25">
        <f t="shared" si="34"/>
        <v>115</v>
      </c>
      <c r="K486" s="27">
        <f t="shared" si="32"/>
        <v>275</v>
      </c>
      <c r="L486" s="27">
        <v>50000</v>
      </c>
      <c r="M486" s="27">
        <v>74000</v>
      </c>
      <c r="N486" s="28">
        <v>125</v>
      </c>
      <c r="P486" s="25" t="s">
        <v>532</v>
      </c>
    </row>
    <row r="487" spans="1:16" s="25" customFormat="1" x14ac:dyDescent="0.25">
      <c r="A487" s="25" t="s">
        <v>27</v>
      </c>
      <c r="B487" s="25" t="s">
        <v>35</v>
      </c>
      <c r="C487" s="25">
        <v>5000</v>
      </c>
      <c r="D487" s="26">
        <v>116</v>
      </c>
      <c r="E487" s="25">
        <f t="shared" si="31"/>
        <v>0.13500000000000001</v>
      </c>
      <c r="F487" s="25">
        <v>65</v>
      </c>
      <c r="G487" s="25">
        <v>25</v>
      </c>
      <c r="H487" s="25">
        <v>150</v>
      </c>
      <c r="I487" s="25">
        <f t="shared" si="33"/>
        <v>116</v>
      </c>
      <c r="J487" s="25">
        <f t="shared" si="34"/>
        <v>116</v>
      </c>
      <c r="K487" s="27">
        <f t="shared" si="32"/>
        <v>276</v>
      </c>
      <c r="L487" s="27">
        <v>50000</v>
      </c>
      <c r="M487" s="27">
        <v>74000</v>
      </c>
      <c r="N487" s="28">
        <v>125</v>
      </c>
      <c r="P487" s="25" t="s">
        <v>533</v>
      </c>
    </row>
    <row r="488" spans="1:16" s="25" customFormat="1" x14ac:dyDescent="0.25">
      <c r="A488" s="25" t="s">
        <v>27</v>
      </c>
      <c r="B488" s="25" t="s">
        <v>35</v>
      </c>
      <c r="C488" s="25">
        <v>5000</v>
      </c>
      <c r="D488" s="26">
        <v>117</v>
      </c>
      <c r="E488" s="25">
        <f t="shared" si="31"/>
        <v>0.13500000000000001</v>
      </c>
      <c r="F488" s="25">
        <v>65</v>
      </c>
      <c r="G488" s="25">
        <v>25</v>
      </c>
      <c r="H488" s="25">
        <v>150</v>
      </c>
      <c r="I488" s="25">
        <f t="shared" si="33"/>
        <v>117</v>
      </c>
      <c r="J488" s="25">
        <f t="shared" si="34"/>
        <v>117</v>
      </c>
      <c r="K488" s="27">
        <f t="shared" si="32"/>
        <v>277</v>
      </c>
      <c r="L488" s="27">
        <v>50000</v>
      </c>
      <c r="M488" s="27">
        <v>74000</v>
      </c>
      <c r="N488" s="28">
        <v>125</v>
      </c>
      <c r="P488" s="25" t="s">
        <v>534</v>
      </c>
    </row>
    <row r="489" spans="1:16" s="25" customFormat="1" x14ac:dyDescent="0.25">
      <c r="A489" s="25" t="s">
        <v>27</v>
      </c>
      <c r="B489" s="25" t="s">
        <v>35</v>
      </c>
      <c r="C489" s="25">
        <v>5000</v>
      </c>
      <c r="D489" s="25">
        <v>118</v>
      </c>
      <c r="E489" s="25">
        <f t="shared" si="31"/>
        <v>0.13500000000000001</v>
      </c>
      <c r="F489" s="25">
        <v>65</v>
      </c>
      <c r="G489" s="25">
        <v>25</v>
      </c>
      <c r="H489" s="25">
        <v>150</v>
      </c>
      <c r="I489" s="25">
        <f t="shared" si="33"/>
        <v>118</v>
      </c>
      <c r="J489" s="25">
        <f t="shared" si="34"/>
        <v>118</v>
      </c>
      <c r="K489" s="27">
        <f t="shared" si="32"/>
        <v>278</v>
      </c>
      <c r="L489" s="27">
        <v>50000</v>
      </c>
      <c r="M489" s="27">
        <v>74000</v>
      </c>
      <c r="N489" s="28">
        <v>125</v>
      </c>
      <c r="P489" s="25" t="s">
        <v>535</v>
      </c>
    </row>
    <row r="490" spans="1:16" s="25" customFormat="1" x14ac:dyDescent="0.25">
      <c r="A490" s="25" t="s">
        <v>27</v>
      </c>
      <c r="B490" s="25" t="s">
        <v>35</v>
      </c>
      <c r="C490" s="25">
        <v>5000</v>
      </c>
      <c r="D490" s="26">
        <v>119</v>
      </c>
      <c r="E490" s="25">
        <f t="shared" si="31"/>
        <v>0.13500000000000001</v>
      </c>
      <c r="F490" s="25">
        <v>65</v>
      </c>
      <c r="G490" s="25">
        <v>25</v>
      </c>
      <c r="H490" s="25">
        <v>150</v>
      </c>
      <c r="I490" s="25">
        <f t="shared" si="33"/>
        <v>119</v>
      </c>
      <c r="J490" s="25">
        <f t="shared" si="34"/>
        <v>119</v>
      </c>
      <c r="K490" s="27">
        <f t="shared" si="32"/>
        <v>279</v>
      </c>
      <c r="L490" s="27">
        <v>50000</v>
      </c>
      <c r="M490" s="27">
        <v>74000</v>
      </c>
      <c r="N490" s="28">
        <v>125</v>
      </c>
      <c r="P490" s="25" t="s">
        <v>536</v>
      </c>
    </row>
    <row r="491" spans="1:16" s="25" customFormat="1" x14ac:dyDescent="0.25">
      <c r="A491" s="25" t="s">
        <v>27</v>
      </c>
      <c r="B491" s="25" t="s">
        <v>35</v>
      </c>
      <c r="C491" s="25">
        <v>5000</v>
      </c>
      <c r="D491" s="26">
        <v>120</v>
      </c>
      <c r="E491" s="25">
        <f t="shared" si="31"/>
        <v>0.13500000000000001</v>
      </c>
      <c r="F491" s="25">
        <v>65</v>
      </c>
      <c r="G491" s="25">
        <v>25</v>
      </c>
      <c r="H491" s="25">
        <v>150</v>
      </c>
      <c r="I491" s="25">
        <f t="shared" si="33"/>
        <v>120</v>
      </c>
      <c r="J491" s="25">
        <f t="shared" si="34"/>
        <v>120</v>
      </c>
      <c r="K491" s="27">
        <f t="shared" si="32"/>
        <v>280</v>
      </c>
      <c r="L491" s="27">
        <v>50000</v>
      </c>
      <c r="M491" s="27">
        <v>74000</v>
      </c>
      <c r="N491" s="28">
        <v>125</v>
      </c>
      <c r="P491" s="25" t="s">
        <v>537</v>
      </c>
    </row>
    <row r="492" spans="1:16" s="25" customFormat="1" x14ac:dyDescent="0.25">
      <c r="A492" s="25" t="s">
        <v>27</v>
      </c>
      <c r="B492" s="25" t="s">
        <v>35</v>
      </c>
      <c r="C492" s="25">
        <v>5000</v>
      </c>
      <c r="D492" s="25">
        <v>121</v>
      </c>
      <c r="E492" s="25">
        <f t="shared" si="31"/>
        <v>0.13500000000000001</v>
      </c>
      <c r="F492" s="25">
        <v>65</v>
      </c>
      <c r="G492" s="25">
        <v>25</v>
      </c>
      <c r="H492" s="25">
        <v>150</v>
      </c>
      <c r="I492" s="25">
        <f t="shared" si="33"/>
        <v>121</v>
      </c>
      <c r="J492" s="25">
        <f t="shared" si="34"/>
        <v>121</v>
      </c>
      <c r="K492" s="27">
        <f t="shared" si="32"/>
        <v>281</v>
      </c>
      <c r="L492" s="27">
        <v>50000</v>
      </c>
      <c r="M492" s="27">
        <v>74000</v>
      </c>
      <c r="N492" s="28">
        <v>125</v>
      </c>
      <c r="P492" s="25" t="s">
        <v>538</v>
      </c>
    </row>
    <row r="493" spans="1:16" s="25" customFormat="1" x14ac:dyDescent="0.25">
      <c r="A493" s="25" t="s">
        <v>27</v>
      </c>
      <c r="B493" s="25" t="s">
        <v>35</v>
      </c>
      <c r="C493" s="25">
        <v>5000</v>
      </c>
      <c r="D493" s="26">
        <v>122</v>
      </c>
      <c r="E493" s="25">
        <f t="shared" si="31"/>
        <v>0.13500000000000001</v>
      </c>
      <c r="F493" s="25">
        <v>65</v>
      </c>
      <c r="G493" s="25">
        <v>25</v>
      </c>
      <c r="H493" s="25">
        <v>150</v>
      </c>
      <c r="I493" s="25">
        <f t="shared" si="33"/>
        <v>122</v>
      </c>
      <c r="J493" s="25">
        <f t="shared" si="34"/>
        <v>122</v>
      </c>
      <c r="K493" s="27">
        <f t="shared" si="32"/>
        <v>282</v>
      </c>
      <c r="L493" s="27">
        <v>50000</v>
      </c>
      <c r="M493" s="27">
        <v>74000</v>
      </c>
      <c r="N493" s="28">
        <v>125</v>
      </c>
      <c r="P493" s="25" t="s">
        <v>539</v>
      </c>
    </row>
    <row r="494" spans="1:16" s="25" customFormat="1" x14ac:dyDescent="0.25">
      <c r="A494" s="25" t="s">
        <v>27</v>
      </c>
      <c r="B494" s="25" t="s">
        <v>35</v>
      </c>
      <c r="C494" s="25">
        <v>5000</v>
      </c>
      <c r="D494" s="26">
        <v>123</v>
      </c>
      <c r="E494" s="25">
        <f t="shared" si="31"/>
        <v>0.13500000000000001</v>
      </c>
      <c r="F494" s="25">
        <v>65</v>
      </c>
      <c r="G494" s="25">
        <v>25</v>
      </c>
      <c r="H494" s="25">
        <v>150</v>
      </c>
      <c r="I494" s="25">
        <f t="shared" si="33"/>
        <v>123</v>
      </c>
      <c r="J494" s="25">
        <f t="shared" si="34"/>
        <v>123</v>
      </c>
      <c r="K494" s="27">
        <f t="shared" si="32"/>
        <v>283</v>
      </c>
      <c r="L494" s="27">
        <v>50000</v>
      </c>
      <c r="M494" s="27">
        <v>74000</v>
      </c>
      <c r="N494" s="28">
        <v>125</v>
      </c>
      <c r="P494" s="25" t="s">
        <v>540</v>
      </c>
    </row>
    <row r="495" spans="1:16" s="25" customFormat="1" x14ac:dyDescent="0.25">
      <c r="A495" s="25" t="s">
        <v>27</v>
      </c>
      <c r="B495" s="25" t="s">
        <v>35</v>
      </c>
      <c r="C495" s="25">
        <v>5000</v>
      </c>
      <c r="D495" s="25">
        <v>124</v>
      </c>
      <c r="E495" s="25">
        <f t="shared" si="31"/>
        <v>0.13500000000000001</v>
      </c>
      <c r="F495" s="25">
        <v>65</v>
      </c>
      <c r="G495" s="25">
        <v>25</v>
      </c>
      <c r="H495" s="25">
        <v>150</v>
      </c>
      <c r="I495" s="25">
        <f t="shared" si="33"/>
        <v>124</v>
      </c>
      <c r="J495" s="25">
        <f t="shared" si="34"/>
        <v>124</v>
      </c>
      <c r="K495" s="27">
        <f t="shared" si="32"/>
        <v>284</v>
      </c>
      <c r="L495" s="27">
        <v>50000</v>
      </c>
      <c r="M495" s="27">
        <v>74000</v>
      </c>
      <c r="N495" s="28">
        <v>125</v>
      </c>
      <c r="P495" s="25" t="s">
        <v>541</v>
      </c>
    </row>
    <row r="496" spans="1:16" s="25" customFormat="1" x14ac:dyDescent="0.25">
      <c r="A496" s="25" t="s">
        <v>27</v>
      </c>
      <c r="B496" s="25" t="s">
        <v>35</v>
      </c>
      <c r="C496" s="25">
        <v>5000</v>
      </c>
      <c r="D496" s="26">
        <v>125</v>
      </c>
      <c r="E496" s="25">
        <f t="shared" si="31"/>
        <v>0.13500000000000001</v>
      </c>
      <c r="F496" s="25">
        <v>65</v>
      </c>
      <c r="G496" s="25">
        <v>25</v>
      </c>
      <c r="H496" s="25">
        <v>150</v>
      </c>
      <c r="I496" s="25">
        <f t="shared" si="33"/>
        <v>125</v>
      </c>
      <c r="J496" s="25">
        <f t="shared" si="34"/>
        <v>125</v>
      </c>
      <c r="K496" s="27">
        <f t="shared" si="32"/>
        <v>285</v>
      </c>
      <c r="L496" s="27">
        <v>50000</v>
      </c>
      <c r="M496" s="27">
        <v>74000</v>
      </c>
      <c r="N496" s="28">
        <v>125</v>
      </c>
      <c r="P496" s="25" t="s">
        <v>542</v>
      </c>
    </row>
    <row r="497" spans="1:16" s="25" customFormat="1" x14ac:dyDescent="0.25">
      <c r="A497" s="25" t="s">
        <v>27</v>
      </c>
      <c r="B497" s="25" t="s">
        <v>35</v>
      </c>
      <c r="C497" s="25">
        <v>5000</v>
      </c>
      <c r="D497" s="26">
        <v>126</v>
      </c>
      <c r="E497" s="25">
        <f t="shared" si="31"/>
        <v>0.13500000000000001</v>
      </c>
      <c r="F497" s="25">
        <v>65</v>
      </c>
      <c r="G497" s="25">
        <v>25</v>
      </c>
      <c r="H497" s="25">
        <v>150</v>
      </c>
      <c r="I497" s="25">
        <f t="shared" si="33"/>
        <v>126</v>
      </c>
      <c r="J497" s="25">
        <f t="shared" si="34"/>
        <v>126</v>
      </c>
      <c r="K497" s="27">
        <f t="shared" si="32"/>
        <v>286</v>
      </c>
      <c r="L497" s="27">
        <v>50000</v>
      </c>
      <c r="M497" s="27">
        <v>74000</v>
      </c>
      <c r="N497" s="28">
        <v>125</v>
      </c>
      <c r="P497" s="25" t="s">
        <v>543</v>
      </c>
    </row>
    <row r="498" spans="1:16" s="25" customFormat="1" x14ac:dyDescent="0.25">
      <c r="A498" s="25" t="s">
        <v>27</v>
      </c>
      <c r="B498" s="25" t="s">
        <v>35</v>
      </c>
      <c r="C498" s="25">
        <v>5000</v>
      </c>
      <c r="D498" s="25">
        <v>127</v>
      </c>
      <c r="E498" s="25">
        <f t="shared" si="31"/>
        <v>0.13500000000000001</v>
      </c>
      <c r="F498" s="25">
        <v>65</v>
      </c>
      <c r="G498" s="25">
        <v>25</v>
      </c>
      <c r="H498" s="25">
        <v>150</v>
      </c>
      <c r="I498" s="25">
        <f t="shared" si="33"/>
        <v>127</v>
      </c>
      <c r="J498" s="25">
        <f t="shared" si="34"/>
        <v>127</v>
      </c>
      <c r="K498" s="27">
        <f t="shared" si="32"/>
        <v>287</v>
      </c>
      <c r="L498" s="27">
        <v>50000</v>
      </c>
      <c r="M498" s="27">
        <v>74000</v>
      </c>
      <c r="N498" s="28">
        <v>125</v>
      </c>
      <c r="P498" s="25" t="s">
        <v>544</v>
      </c>
    </row>
    <row r="499" spans="1:16" s="25" customFormat="1" x14ac:dyDescent="0.25">
      <c r="A499" s="25" t="s">
        <v>27</v>
      </c>
      <c r="B499" s="25" t="s">
        <v>35</v>
      </c>
      <c r="C499" s="25">
        <v>5000</v>
      </c>
      <c r="D499" s="26">
        <v>128</v>
      </c>
      <c r="E499" s="25">
        <f t="shared" si="31"/>
        <v>0.13500000000000001</v>
      </c>
      <c r="F499" s="25">
        <v>65</v>
      </c>
      <c r="G499" s="25">
        <v>25</v>
      </c>
      <c r="H499" s="25">
        <v>150</v>
      </c>
      <c r="I499" s="25">
        <f t="shared" si="33"/>
        <v>128</v>
      </c>
      <c r="J499" s="25">
        <f t="shared" si="34"/>
        <v>128</v>
      </c>
      <c r="K499" s="27">
        <f t="shared" si="32"/>
        <v>288</v>
      </c>
      <c r="L499" s="27">
        <v>50000</v>
      </c>
      <c r="M499" s="27">
        <v>74000</v>
      </c>
      <c r="N499" s="28">
        <v>125</v>
      </c>
      <c r="P499" s="25" t="s">
        <v>545</v>
      </c>
    </row>
    <row r="500" spans="1:16" s="25" customFormat="1" x14ac:dyDescent="0.25">
      <c r="A500" s="25" t="s">
        <v>27</v>
      </c>
      <c r="B500" s="25" t="s">
        <v>35</v>
      </c>
      <c r="C500" s="25">
        <v>5000</v>
      </c>
      <c r="D500" s="26">
        <v>129</v>
      </c>
      <c r="E500" s="25">
        <f t="shared" si="31"/>
        <v>0.13500000000000001</v>
      </c>
      <c r="F500" s="25">
        <v>65</v>
      </c>
      <c r="G500" s="25">
        <v>25</v>
      </c>
      <c r="H500" s="25">
        <v>150</v>
      </c>
      <c r="I500" s="25">
        <f t="shared" si="33"/>
        <v>129</v>
      </c>
      <c r="J500" s="25">
        <f t="shared" si="34"/>
        <v>129</v>
      </c>
      <c r="K500" s="27">
        <f t="shared" si="32"/>
        <v>289</v>
      </c>
      <c r="L500" s="27">
        <v>50000</v>
      </c>
      <c r="M500" s="27">
        <v>74000</v>
      </c>
      <c r="N500" s="28">
        <v>125</v>
      </c>
      <c r="P500" s="25" t="s">
        <v>546</v>
      </c>
    </row>
    <row r="501" spans="1:16" s="25" customFormat="1" x14ac:dyDescent="0.25">
      <c r="A501" s="25" t="s">
        <v>27</v>
      </c>
      <c r="B501" s="25" t="s">
        <v>35</v>
      </c>
      <c r="C501" s="25">
        <v>5000</v>
      </c>
      <c r="D501" s="25">
        <v>130</v>
      </c>
      <c r="E501" s="25">
        <f t="shared" si="31"/>
        <v>0.13500000000000001</v>
      </c>
      <c r="F501" s="25">
        <v>65</v>
      </c>
      <c r="G501" s="25">
        <v>25</v>
      </c>
      <c r="H501" s="25">
        <v>150</v>
      </c>
      <c r="I501" s="25">
        <f t="shared" si="33"/>
        <v>130</v>
      </c>
      <c r="J501" s="25">
        <f t="shared" si="34"/>
        <v>130</v>
      </c>
      <c r="K501" s="27">
        <f t="shared" si="32"/>
        <v>290</v>
      </c>
      <c r="L501" s="27">
        <v>50000</v>
      </c>
      <c r="M501" s="27">
        <v>74000</v>
      </c>
      <c r="N501" s="28">
        <v>125</v>
      </c>
      <c r="P501" s="25" t="s">
        <v>547</v>
      </c>
    </row>
    <row r="502" spans="1:16" s="25" customFormat="1" x14ac:dyDescent="0.25">
      <c r="A502" s="25" t="s">
        <v>27</v>
      </c>
      <c r="B502" s="25" t="s">
        <v>35</v>
      </c>
      <c r="C502" s="25">
        <v>5000</v>
      </c>
      <c r="D502" s="26">
        <v>131</v>
      </c>
      <c r="E502" s="25">
        <f t="shared" si="31"/>
        <v>0.13500000000000001</v>
      </c>
      <c r="F502" s="25">
        <v>65</v>
      </c>
      <c r="G502" s="25">
        <v>25</v>
      </c>
      <c r="H502" s="25">
        <v>150</v>
      </c>
      <c r="I502" s="25">
        <f t="shared" si="33"/>
        <v>131</v>
      </c>
      <c r="J502" s="25">
        <f t="shared" si="34"/>
        <v>131</v>
      </c>
      <c r="K502" s="27">
        <f t="shared" si="32"/>
        <v>291</v>
      </c>
      <c r="L502" s="27">
        <v>50000</v>
      </c>
      <c r="M502" s="27">
        <v>74000</v>
      </c>
      <c r="N502" s="28">
        <v>125</v>
      </c>
      <c r="P502" s="25" t="s">
        <v>548</v>
      </c>
    </row>
    <row r="503" spans="1:16" s="25" customFormat="1" x14ac:dyDescent="0.25">
      <c r="A503" s="25" t="s">
        <v>27</v>
      </c>
      <c r="B503" s="25" t="s">
        <v>35</v>
      </c>
      <c r="C503" s="25">
        <v>5000</v>
      </c>
      <c r="D503" s="26">
        <v>132</v>
      </c>
      <c r="E503" s="25">
        <f t="shared" si="31"/>
        <v>0.13500000000000001</v>
      </c>
      <c r="F503" s="25">
        <v>65</v>
      </c>
      <c r="G503" s="25">
        <v>25</v>
      </c>
      <c r="H503" s="25">
        <v>150</v>
      </c>
      <c r="I503" s="25">
        <f t="shared" si="33"/>
        <v>132</v>
      </c>
      <c r="J503" s="25">
        <f t="shared" si="34"/>
        <v>132</v>
      </c>
      <c r="K503" s="27">
        <f t="shared" si="32"/>
        <v>292</v>
      </c>
      <c r="L503" s="27">
        <v>50000</v>
      </c>
      <c r="M503" s="27">
        <v>74000</v>
      </c>
      <c r="N503" s="28">
        <v>125</v>
      </c>
      <c r="P503" s="25" t="s">
        <v>549</v>
      </c>
    </row>
    <row r="504" spans="1:16" s="25" customFormat="1" x14ac:dyDescent="0.25">
      <c r="A504" s="25" t="s">
        <v>27</v>
      </c>
      <c r="B504" s="25" t="s">
        <v>35</v>
      </c>
      <c r="C504" s="25">
        <v>5000</v>
      </c>
      <c r="D504" s="25">
        <v>133</v>
      </c>
      <c r="E504" s="25">
        <f t="shared" si="31"/>
        <v>0.13500000000000001</v>
      </c>
      <c r="F504" s="25">
        <v>65</v>
      </c>
      <c r="G504" s="25">
        <v>25</v>
      </c>
      <c r="H504" s="25">
        <v>150</v>
      </c>
      <c r="I504" s="25">
        <f t="shared" si="33"/>
        <v>133</v>
      </c>
      <c r="J504" s="25">
        <f t="shared" si="34"/>
        <v>133</v>
      </c>
      <c r="K504" s="27">
        <f t="shared" si="32"/>
        <v>293</v>
      </c>
      <c r="L504" s="27">
        <v>50000</v>
      </c>
      <c r="M504" s="27">
        <v>74000</v>
      </c>
      <c r="N504" s="28">
        <v>125</v>
      </c>
      <c r="P504" s="25" t="s">
        <v>550</v>
      </c>
    </row>
    <row r="505" spans="1:16" s="25" customFormat="1" x14ac:dyDescent="0.25">
      <c r="A505" s="25" t="s">
        <v>27</v>
      </c>
      <c r="B505" s="25" t="s">
        <v>35</v>
      </c>
      <c r="C505" s="25">
        <v>5000</v>
      </c>
      <c r="D505" s="26">
        <v>134</v>
      </c>
      <c r="E505" s="25">
        <f t="shared" si="31"/>
        <v>0.13500000000000001</v>
      </c>
      <c r="F505" s="25">
        <v>65</v>
      </c>
      <c r="G505" s="25">
        <v>25</v>
      </c>
      <c r="H505" s="25">
        <v>150</v>
      </c>
      <c r="I505" s="25">
        <f t="shared" si="33"/>
        <v>134</v>
      </c>
      <c r="J505" s="25">
        <f t="shared" si="34"/>
        <v>134</v>
      </c>
      <c r="K505" s="27">
        <f t="shared" si="32"/>
        <v>294</v>
      </c>
      <c r="L505" s="27">
        <v>50000</v>
      </c>
      <c r="M505" s="27">
        <v>74000</v>
      </c>
      <c r="N505" s="28">
        <v>125</v>
      </c>
      <c r="P505" s="25" t="s">
        <v>551</v>
      </c>
    </row>
    <row r="506" spans="1:16" s="25" customFormat="1" x14ac:dyDescent="0.25">
      <c r="A506" s="25" t="s">
        <v>27</v>
      </c>
      <c r="B506" s="25" t="s">
        <v>35</v>
      </c>
      <c r="C506" s="25">
        <v>5000</v>
      </c>
      <c r="D506" s="26">
        <v>135</v>
      </c>
      <c r="E506" s="25">
        <f t="shared" si="31"/>
        <v>0.13500000000000001</v>
      </c>
      <c r="F506" s="25">
        <v>65</v>
      </c>
      <c r="G506" s="25">
        <v>25</v>
      </c>
      <c r="H506" s="25">
        <v>150</v>
      </c>
      <c r="I506" s="25">
        <f t="shared" si="33"/>
        <v>135</v>
      </c>
      <c r="J506" s="25">
        <f t="shared" si="34"/>
        <v>135</v>
      </c>
      <c r="K506" s="27">
        <f t="shared" si="32"/>
        <v>295</v>
      </c>
      <c r="L506" s="27">
        <v>50000</v>
      </c>
      <c r="M506" s="27">
        <v>74000</v>
      </c>
      <c r="N506" s="28">
        <v>125</v>
      </c>
      <c r="P506" s="25" t="s">
        <v>552</v>
      </c>
    </row>
    <row r="507" spans="1:16" s="25" customFormat="1" x14ac:dyDescent="0.25">
      <c r="A507" s="25" t="s">
        <v>27</v>
      </c>
      <c r="B507" s="25" t="s">
        <v>35</v>
      </c>
      <c r="C507" s="25">
        <v>5000</v>
      </c>
      <c r="D507" s="25">
        <v>136</v>
      </c>
      <c r="E507" s="25">
        <f t="shared" si="31"/>
        <v>0.13500000000000001</v>
      </c>
      <c r="F507" s="25">
        <v>65</v>
      </c>
      <c r="G507" s="25">
        <v>25</v>
      </c>
      <c r="H507" s="25">
        <v>150</v>
      </c>
      <c r="I507" s="25">
        <f t="shared" si="33"/>
        <v>136</v>
      </c>
      <c r="J507" s="25">
        <f t="shared" si="34"/>
        <v>136</v>
      </c>
      <c r="K507" s="27">
        <f t="shared" si="32"/>
        <v>296</v>
      </c>
      <c r="L507" s="27">
        <v>50000</v>
      </c>
      <c r="M507" s="27">
        <v>74000</v>
      </c>
      <c r="N507" s="28">
        <v>125</v>
      </c>
      <c r="P507" s="25" t="s">
        <v>553</v>
      </c>
    </row>
    <row r="508" spans="1:16" s="25" customFormat="1" x14ac:dyDescent="0.25">
      <c r="A508" s="25" t="s">
        <v>27</v>
      </c>
      <c r="B508" s="25" t="s">
        <v>35</v>
      </c>
      <c r="C508" s="25">
        <v>5000</v>
      </c>
      <c r="D508" s="26">
        <v>137</v>
      </c>
      <c r="E508" s="25">
        <f t="shared" si="31"/>
        <v>0.13500000000000001</v>
      </c>
      <c r="F508" s="25">
        <v>65</v>
      </c>
      <c r="G508" s="25">
        <v>25</v>
      </c>
      <c r="H508" s="25">
        <v>150</v>
      </c>
      <c r="I508" s="25">
        <f t="shared" si="33"/>
        <v>137</v>
      </c>
      <c r="J508" s="25">
        <f t="shared" si="34"/>
        <v>137</v>
      </c>
      <c r="K508" s="27">
        <f t="shared" si="32"/>
        <v>297</v>
      </c>
      <c r="L508" s="27">
        <v>50000</v>
      </c>
      <c r="M508" s="27">
        <v>74000</v>
      </c>
      <c r="N508" s="28">
        <v>125</v>
      </c>
      <c r="P508" s="25" t="s">
        <v>554</v>
      </c>
    </row>
    <row r="509" spans="1:16" s="25" customFormat="1" x14ac:dyDescent="0.25">
      <c r="A509" s="25" t="s">
        <v>27</v>
      </c>
      <c r="B509" s="25" t="s">
        <v>35</v>
      </c>
      <c r="C509" s="25">
        <v>5000</v>
      </c>
      <c r="D509" s="26">
        <v>138</v>
      </c>
      <c r="E509" s="25">
        <f t="shared" si="31"/>
        <v>0.13500000000000001</v>
      </c>
      <c r="F509" s="25">
        <v>65</v>
      </c>
      <c r="G509" s="25">
        <v>25</v>
      </c>
      <c r="H509" s="25">
        <v>150</v>
      </c>
      <c r="I509" s="25">
        <f t="shared" si="33"/>
        <v>138</v>
      </c>
      <c r="J509" s="25">
        <f t="shared" si="34"/>
        <v>138</v>
      </c>
      <c r="K509" s="27">
        <f t="shared" si="32"/>
        <v>298</v>
      </c>
      <c r="L509" s="27">
        <v>50000</v>
      </c>
      <c r="M509" s="27">
        <v>74000</v>
      </c>
      <c r="N509" s="28">
        <v>125</v>
      </c>
      <c r="P509" s="25" t="s">
        <v>555</v>
      </c>
    </row>
    <row r="510" spans="1:16" s="25" customFormat="1" x14ac:dyDescent="0.25">
      <c r="A510" s="25" t="s">
        <v>27</v>
      </c>
      <c r="B510" s="25" t="s">
        <v>35</v>
      </c>
      <c r="C510" s="25">
        <v>5000</v>
      </c>
      <c r="D510" s="25">
        <v>139</v>
      </c>
      <c r="E510" s="25">
        <f t="shared" ref="E510:E531" si="35">AVERAGE(0.15,0.12)</f>
        <v>0.13500000000000001</v>
      </c>
      <c r="F510" s="25">
        <v>65</v>
      </c>
      <c r="G510" s="25">
        <v>25</v>
      </c>
      <c r="H510" s="25">
        <v>150</v>
      </c>
      <c r="I510" s="25">
        <f t="shared" si="33"/>
        <v>139</v>
      </c>
      <c r="J510" s="25">
        <f t="shared" si="34"/>
        <v>139</v>
      </c>
      <c r="K510" s="27">
        <f t="shared" ref="K510:K531" si="36">160+D510</f>
        <v>299</v>
      </c>
      <c r="L510" s="27">
        <v>50000</v>
      </c>
      <c r="M510" s="27">
        <v>74000</v>
      </c>
      <c r="N510" s="28">
        <v>125</v>
      </c>
      <c r="P510" s="25" t="s">
        <v>556</v>
      </c>
    </row>
    <row r="511" spans="1:16" s="25" customFormat="1" x14ac:dyDescent="0.25">
      <c r="A511" s="25" t="s">
        <v>27</v>
      </c>
      <c r="B511" s="25" t="s">
        <v>35</v>
      </c>
      <c r="C511" s="25">
        <v>5000</v>
      </c>
      <c r="D511" s="26">
        <v>140</v>
      </c>
      <c r="E511" s="25">
        <f t="shared" si="35"/>
        <v>0.13500000000000001</v>
      </c>
      <c r="F511" s="25">
        <v>65</v>
      </c>
      <c r="G511" s="25">
        <v>25</v>
      </c>
      <c r="H511" s="25">
        <v>150</v>
      </c>
      <c r="I511" s="25">
        <f t="shared" si="33"/>
        <v>140</v>
      </c>
      <c r="J511" s="25">
        <f t="shared" si="34"/>
        <v>140</v>
      </c>
      <c r="K511" s="27">
        <f t="shared" si="36"/>
        <v>300</v>
      </c>
      <c r="L511" s="27">
        <v>50000</v>
      </c>
      <c r="M511" s="27">
        <v>74000</v>
      </c>
      <c r="N511" s="28">
        <v>125</v>
      </c>
      <c r="P511" s="25" t="s">
        <v>557</v>
      </c>
    </row>
    <row r="512" spans="1:16" s="25" customFormat="1" x14ac:dyDescent="0.25">
      <c r="A512" s="25" t="s">
        <v>27</v>
      </c>
      <c r="B512" s="25" t="s">
        <v>35</v>
      </c>
      <c r="C512" s="25">
        <v>5000</v>
      </c>
      <c r="D512" s="26">
        <v>141</v>
      </c>
      <c r="E512" s="25">
        <f t="shared" si="35"/>
        <v>0.13500000000000001</v>
      </c>
      <c r="F512" s="25">
        <v>65</v>
      </c>
      <c r="G512" s="25">
        <v>25</v>
      </c>
      <c r="H512" s="25">
        <v>150</v>
      </c>
      <c r="I512" s="25">
        <f t="shared" si="33"/>
        <v>141</v>
      </c>
      <c r="J512" s="25">
        <f t="shared" si="34"/>
        <v>141</v>
      </c>
      <c r="K512" s="27">
        <f t="shared" si="36"/>
        <v>301</v>
      </c>
      <c r="L512" s="27">
        <v>50000</v>
      </c>
      <c r="M512" s="27">
        <v>74000</v>
      </c>
      <c r="N512" s="28">
        <v>125</v>
      </c>
      <c r="P512" s="25" t="s">
        <v>558</v>
      </c>
    </row>
    <row r="513" spans="1:16" s="25" customFormat="1" x14ac:dyDescent="0.25">
      <c r="A513" s="25" t="s">
        <v>27</v>
      </c>
      <c r="B513" s="25" t="s">
        <v>35</v>
      </c>
      <c r="C513" s="25">
        <v>5000</v>
      </c>
      <c r="D513" s="25">
        <v>142</v>
      </c>
      <c r="E513" s="25">
        <f t="shared" si="35"/>
        <v>0.13500000000000001</v>
      </c>
      <c r="F513" s="25">
        <v>65</v>
      </c>
      <c r="G513" s="25">
        <v>25</v>
      </c>
      <c r="H513" s="25">
        <v>150</v>
      </c>
      <c r="I513" s="25">
        <f t="shared" si="33"/>
        <v>142</v>
      </c>
      <c r="J513" s="25">
        <f t="shared" si="34"/>
        <v>142</v>
      </c>
      <c r="K513" s="27">
        <f t="shared" si="36"/>
        <v>302</v>
      </c>
      <c r="L513" s="27">
        <v>50000</v>
      </c>
      <c r="M513" s="27">
        <v>74000</v>
      </c>
      <c r="N513" s="28">
        <v>125</v>
      </c>
      <c r="P513" s="25" t="s">
        <v>559</v>
      </c>
    </row>
    <row r="514" spans="1:16" s="25" customFormat="1" x14ac:dyDescent="0.25">
      <c r="A514" s="25" t="s">
        <v>27</v>
      </c>
      <c r="B514" s="25" t="s">
        <v>35</v>
      </c>
      <c r="C514" s="25">
        <v>5000</v>
      </c>
      <c r="D514" s="26">
        <v>143</v>
      </c>
      <c r="E514" s="25">
        <f t="shared" si="35"/>
        <v>0.13500000000000001</v>
      </c>
      <c r="F514" s="25">
        <v>65</v>
      </c>
      <c r="G514" s="25">
        <v>25</v>
      </c>
      <c r="H514" s="25">
        <v>150</v>
      </c>
      <c r="I514" s="25">
        <f t="shared" si="33"/>
        <v>143</v>
      </c>
      <c r="J514" s="25">
        <f t="shared" si="34"/>
        <v>143</v>
      </c>
      <c r="K514" s="27">
        <f t="shared" si="36"/>
        <v>303</v>
      </c>
      <c r="L514" s="27">
        <v>50000</v>
      </c>
      <c r="M514" s="27">
        <v>74000</v>
      </c>
      <c r="N514" s="28">
        <v>125</v>
      </c>
      <c r="P514" s="25" t="s">
        <v>560</v>
      </c>
    </row>
    <row r="515" spans="1:16" s="25" customFormat="1" x14ac:dyDescent="0.25">
      <c r="A515" s="25" t="s">
        <v>27</v>
      </c>
      <c r="B515" s="25" t="s">
        <v>35</v>
      </c>
      <c r="C515" s="25">
        <v>5000</v>
      </c>
      <c r="D515" s="26">
        <v>144</v>
      </c>
      <c r="E515" s="25">
        <f t="shared" si="35"/>
        <v>0.13500000000000001</v>
      </c>
      <c r="F515" s="25">
        <v>65</v>
      </c>
      <c r="G515" s="25">
        <v>25</v>
      </c>
      <c r="H515" s="25">
        <v>150</v>
      </c>
      <c r="I515" s="25">
        <f t="shared" si="33"/>
        <v>144</v>
      </c>
      <c r="J515" s="25">
        <f t="shared" si="34"/>
        <v>144</v>
      </c>
      <c r="K515" s="27">
        <f t="shared" si="36"/>
        <v>304</v>
      </c>
      <c r="L515" s="27">
        <v>50000</v>
      </c>
      <c r="M515" s="27">
        <v>74000</v>
      </c>
      <c r="N515" s="28">
        <v>125</v>
      </c>
      <c r="P515" s="25" t="s">
        <v>561</v>
      </c>
    </row>
    <row r="516" spans="1:16" s="25" customFormat="1" x14ac:dyDescent="0.25">
      <c r="A516" s="25" t="s">
        <v>27</v>
      </c>
      <c r="B516" s="25" t="s">
        <v>35</v>
      </c>
      <c r="C516" s="25">
        <v>5000</v>
      </c>
      <c r="D516" s="25">
        <v>145</v>
      </c>
      <c r="E516" s="25">
        <f t="shared" si="35"/>
        <v>0.13500000000000001</v>
      </c>
      <c r="F516" s="25">
        <v>65</v>
      </c>
      <c r="G516" s="25">
        <v>25</v>
      </c>
      <c r="H516" s="25">
        <v>150</v>
      </c>
      <c r="I516" s="25">
        <f t="shared" si="33"/>
        <v>145</v>
      </c>
      <c r="J516" s="25">
        <f t="shared" si="34"/>
        <v>145</v>
      </c>
      <c r="K516" s="27">
        <f t="shared" si="36"/>
        <v>305</v>
      </c>
      <c r="L516" s="27">
        <v>50000</v>
      </c>
      <c r="M516" s="27">
        <v>74000</v>
      </c>
      <c r="N516" s="28">
        <v>125</v>
      </c>
      <c r="P516" s="25" t="s">
        <v>562</v>
      </c>
    </row>
    <row r="517" spans="1:16" s="25" customFormat="1" x14ac:dyDescent="0.25">
      <c r="A517" s="25" t="s">
        <v>27</v>
      </c>
      <c r="B517" s="25" t="s">
        <v>35</v>
      </c>
      <c r="C517" s="25">
        <v>5000</v>
      </c>
      <c r="D517" s="26">
        <v>146</v>
      </c>
      <c r="E517" s="25">
        <f t="shared" si="35"/>
        <v>0.13500000000000001</v>
      </c>
      <c r="F517" s="25">
        <v>65</v>
      </c>
      <c r="G517" s="25">
        <v>25</v>
      </c>
      <c r="H517" s="25">
        <v>150</v>
      </c>
      <c r="I517" s="25">
        <f t="shared" si="33"/>
        <v>146</v>
      </c>
      <c r="J517" s="25">
        <f t="shared" si="34"/>
        <v>146</v>
      </c>
      <c r="K517" s="27">
        <f t="shared" si="36"/>
        <v>306</v>
      </c>
      <c r="L517" s="27">
        <v>50000</v>
      </c>
      <c r="M517" s="27">
        <v>74000</v>
      </c>
      <c r="N517" s="28">
        <v>125</v>
      </c>
      <c r="P517" s="25" t="s">
        <v>563</v>
      </c>
    </row>
    <row r="518" spans="1:16" s="25" customFormat="1" x14ac:dyDescent="0.25">
      <c r="A518" s="25" t="s">
        <v>27</v>
      </c>
      <c r="B518" s="25" t="s">
        <v>35</v>
      </c>
      <c r="C518" s="25">
        <v>5000</v>
      </c>
      <c r="D518" s="26">
        <v>147</v>
      </c>
      <c r="E518" s="25">
        <f t="shared" si="35"/>
        <v>0.13500000000000001</v>
      </c>
      <c r="F518" s="25">
        <v>65</v>
      </c>
      <c r="G518" s="25">
        <v>25</v>
      </c>
      <c r="H518" s="25">
        <v>150</v>
      </c>
      <c r="I518" s="25">
        <f t="shared" si="33"/>
        <v>147</v>
      </c>
      <c r="J518" s="25">
        <f t="shared" si="34"/>
        <v>147</v>
      </c>
      <c r="K518" s="27">
        <f t="shared" si="36"/>
        <v>307</v>
      </c>
      <c r="L518" s="27">
        <v>50000</v>
      </c>
      <c r="M518" s="27">
        <v>74000</v>
      </c>
      <c r="N518" s="28">
        <v>125</v>
      </c>
      <c r="P518" s="25" t="s">
        <v>564</v>
      </c>
    </row>
    <row r="519" spans="1:16" s="25" customFormat="1" x14ac:dyDescent="0.25">
      <c r="A519" s="25" t="s">
        <v>27</v>
      </c>
      <c r="B519" s="25" t="s">
        <v>35</v>
      </c>
      <c r="C519" s="25">
        <v>5000</v>
      </c>
      <c r="D519" s="25">
        <v>148</v>
      </c>
      <c r="E519" s="25">
        <f t="shared" si="35"/>
        <v>0.13500000000000001</v>
      </c>
      <c r="F519" s="25">
        <v>65</v>
      </c>
      <c r="G519" s="25">
        <v>25</v>
      </c>
      <c r="H519" s="25">
        <v>150</v>
      </c>
      <c r="I519" s="25">
        <f t="shared" si="33"/>
        <v>148</v>
      </c>
      <c r="J519" s="25">
        <f t="shared" si="34"/>
        <v>148</v>
      </c>
      <c r="K519" s="27">
        <f t="shared" si="36"/>
        <v>308</v>
      </c>
      <c r="L519" s="27">
        <v>50000</v>
      </c>
      <c r="M519" s="27">
        <v>74000</v>
      </c>
      <c r="N519" s="28">
        <v>125</v>
      </c>
      <c r="P519" s="25" t="s">
        <v>565</v>
      </c>
    </row>
    <row r="520" spans="1:16" s="25" customFormat="1" x14ac:dyDescent="0.25">
      <c r="A520" s="25" t="s">
        <v>27</v>
      </c>
      <c r="B520" s="25" t="s">
        <v>35</v>
      </c>
      <c r="C520" s="25">
        <v>5000</v>
      </c>
      <c r="D520" s="26">
        <v>149</v>
      </c>
      <c r="E520" s="25">
        <f t="shared" si="35"/>
        <v>0.13500000000000001</v>
      </c>
      <c r="F520" s="25">
        <v>65</v>
      </c>
      <c r="G520" s="25">
        <v>25</v>
      </c>
      <c r="H520" s="25">
        <v>150</v>
      </c>
      <c r="I520" s="25">
        <f t="shared" si="33"/>
        <v>149</v>
      </c>
      <c r="J520" s="25">
        <f t="shared" si="34"/>
        <v>149</v>
      </c>
      <c r="K520" s="27">
        <f t="shared" si="36"/>
        <v>309</v>
      </c>
      <c r="L520" s="27">
        <v>50000</v>
      </c>
      <c r="M520" s="27">
        <v>74000</v>
      </c>
      <c r="N520" s="28">
        <v>125</v>
      </c>
      <c r="P520" s="25" t="s">
        <v>566</v>
      </c>
    </row>
    <row r="521" spans="1:16" s="25" customFormat="1" x14ac:dyDescent="0.25">
      <c r="A521" s="25" t="s">
        <v>27</v>
      </c>
      <c r="B521" s="25" t="s">
        <v>35</v>
      </c>
      <c r="C521" s="25">
        <v>5000</v>
      </c>
      <c r="D521" s="26">
        <v>150</v>
      </c>
      <c r="E521" s="25">
        <f t="shared" si="35"/>
        <v>0.13500000000000001</v>
      </c>
      <c r="F521" s="25">
        <v>65</v>
      </c>
      <c r="G521" s="25">
        <v>25</v>
      </c>
      <c r="H521" s="25">
        <v>150</v>
      </c>
      <c r="I521" s="25">
        <f t="shared" si="33"/>
        <v>150</v>
      </c>
      <c r="J521" s="25">
        <f t="shared" si="34"/>
        <v>150</v>
      </c>
      <c r="K521" s="27">
        <f t="shared" si="36"/>
        <v>310</v>
      </c>
      <c r="L521" s="27">
        <v>50000</v>
      </c>
      <c r="M521" s="27">
        <v>74000</v>
      </c>
      <c r="N521" s="28">
        <v>125</v>
      </c>
      <c r="P521" s="25" t="s">
        <v>567</v>
      </c>
    </row>
    <row r="522" spans="1:16" s="25" customFormat="1" x14ac:dyDescent="0.25">
      <c r="A522" s="25" t="s">
        <v>27</v>
      </c>
      <c r="B522" s="25" t="s">
        <v>35</v>
      </c>
      <c r="C522" s="25">
        <v>5000</v>
      </c>
      <c r="D522" s="25">
        <v>151</v>
      </c>
      <c r="E522" s="25">
        <f t="shared" si="35"/>
        <v>0.13500000000000001</v>
      </c>
      <c r="F522" s="25">
        <v>65</v>
      </c>
      <c r="G522" s="25">
        <v>25</v>
      </c>
      <c r="H522" s="25">
        <v>150</v>
      </c>
      <c r="I522" s="25">
        <f t="shared" si="33"/>
        <v>151</v>
      </c>
      <c r="J522" s="25">
        <f t="shared" si="34"/>
        <v>151</v>
      </c>
      <c r="K522" s="27">
        <f t="shared" si="36"/>
        <v>311</v>
      </c>
      <c r="L522" s="27">
        <v>50000</v>
      </c>
      <c r="M522" s="27">
        <v>74000</v>
      </c>
      <c r="N522" s="28">
        <v>125</v>
      </c>
      <c r="P522" s="25" t="s">
        <v>568</v>
      </c>
    </row>
    <row r="523" spans="1:16" s="25" customFormat="1" x14ac:dyDescent="0.25">
      <c r="A523" s="25" t="s">
        <v>27</v>
      </c>
      <c r="B523" s="25" t="s">
        <v>35</v>
      </c>
      <c r="C523" s="25">
        <v>5000</v>
      </c>
      <c r="D523" s="26">
        <v>152</v>
      </c>
      <c r="E523" s="25">
        <f t="shared" si="35"/>
        <v>0.13500000000000001</v>
      </c>
      <c r="F523" s="25">
        <v>65</v>
      </c>
      <c r="G523" s="25">
        <v>25</v>
      </c>
      <c r="H523" s="25">
        <v>150</v>
      </c>
      <c r="I523" s="25">
        <f t="shared" si="33"/>
        <v>152</v>
      </c>
      <c r="J523" s="25">
        <f t="shared" si="34"/>
        <v>152</v>
      </c>
      <c r="K523" s="27">
        <f t="shared" si="36"/>
        <v>312</v>
      </c>
      <c r="L523" s="27">
        <v>50000</v>
      </c>
      <c r="M523" s="27">
        <v>74000</v>
      </c>
      <c r="N523" s="28">
        <v>125</v>
      </c>
      <c r="P523" s="25" t="s">
        <v>569</v>
      </c>
    </row>
    <row r="524" spans="1:16" s="25" customFormat="1" x14ac:dyDescent="0.25">
      <c r="A524" s="25" t="s">
        <v>27</v>
      </c>
      <c r="B524" s="25" t="s">
        <v>35</v>
      </c>
      <c r="C524" s="25">
        <v>5000</v>
      </c>
      <c r="D524" s="26">
        <v>153</v>
      </c>
      <c r="E524" s="25">
        <f t="shared" si="35"/>
        <v>0.13500000000000001</v>
      </c>
      <c r="F524" s="25">
        <v>65</v>
      </c>
      <c r="G524" s="25">
        <v>25</v>
      </c>
      <c r="H524" s="25">
        <v>150</v>
      </c>
      <c r="I524" s="25">
        <f t="shared" si="33"/>
        <v>153</v>
      </c>
      <c r="J524" s="25">
        <f t="shared" si="34"/>
        <v>153</v>
      </c>
      <c r="K524" s="27">
        <f t="shared" si="36"/>
        <v>313</v>
      </c>
      <c r="L524" s="27">
        <v>50000</v>
      </c>
      <c r="M524" s="27">
        <v>74000</v>
      </c>
      <c r="N524" s="28">
        <v>125</v>
      </c>
      <c r="P524" s="25" t="s">
        <v>570</v>
      </c>
    </row>
    <row r="525" spans="1:16" s="25" customFormat="1" x14ac:dyDescent="0.25">
      <c r="A525" s="25" t="s">
        <v>27</v>
      </c>
      <c r="B525" s="25" t="s">
        <v>35</v>
      </c>
      <c r="C525" s="25">
        <v>5000</v>
      </c>
      <c r="D525" s="25">
        <v>154</v>
      </c>
      <c r="E525" s="25">
        <f t="shared" si="35"/>
        <v>0.13500000000000001</v>
      </c>
      <c r="F525" s="25">
        <v>65</v>
      </c>
      <c r="G525" s="25">
        <v>25</v>
      </c>
      <c r="H525" s="25">
        <v>150</v>
      </c>
      <c r="I525" s="25">
        <f t="shared" si="33"/>
        <v>154</v>
      </c>
      <c r="J525" s="25">
        <f t="shared" si="34"/>
        <v>154</v>
      </c>
      <c r="K525" s="27">
        <f t="shared" si="36"/>
        <v>314</v>
      </c>
      <c r="L525" s="27">
        <v>50000</v>
      </c>
      <c r="M525" s="27">
        <v>74000</v>
      </c>
      <c r="N525" s="28">
        <v>125</v>
      </c>
      <c r="P525" s="25" t="s">
        <v>571</v>
      </c>
    </row>
    <row r="526" spans="1:16" s="25" customFormat="1" x14ac:dyDescent="0.25">
      <c r="A526" s="25" t="s">
        <v>27</v>
      </c>
      <c r="B526" s="25" t="s">
        <v>35</v>
      </c>
      <c r="C526" s="25">
        <v>5000</v>
      </c>
      <c r="D526" s="26">
        <v>155</v>
      </c>
      <c r="E526" s="25">
        <f t="shared" si="35"/>
        <v>0.13500000000000001</v>
      </c>
      <c r="F526" s="25">
        <v>65</v>
      </c>
      <c r="G526" s="25">
        <v>25</v>
      </c>
      <c r="H526" s="25">
        <v>150</v>
      </c>
      <c r="I526" s="25">
        <f t="shared" si="33"/>
        <v>155</v>
      </c>
      <c r="J526" s="25">
        <f t="shared" si="34"/>
        <v>155</v>
      </c>
      <c r="K526" s="27">
        <f t="shared" si="36"/>
        <v>315</v>
      </c>
      <c r="L526" s="27">
        <v>50000</v>
      </c>
      <c r="M526" s="27">
        <v>74000</v>
      </c>
      <c r="N526" s="28">
        <v>125</v>
      </c>
      <c r="P526" s="25" t="s">
        <v>572</v>
      </c>
    </row>
    <row r="527" spans="1:16" s="25" customFormat="1" x14ac:dyDescent="0.25">
      <c r="A527" s="25" t="s">
        <v>27</v>
      </c>
      <c r="B527" s="25" t="s">
        <v>35</v>
      </c>
      <c r="C527" s="25">
        <v>5000</v>
      </c>
      <c r="D527" s="26">
        <v>156</v>
      </c>
      <c r="E527" s="25">
        <f t="shared" si="35"/>
        <v>0.13500000000000001</v>
      </c>
      <c r="F527" s="25">
        <v>65</v>
      </c>
      <c r="G527" s="25">
        <v>25</v>
      </c>
      <c r="H527" s="25">
        <v>150</v>
      </c>
      <c r="I527" s="25">
        <f t="shared" si="33"/>
        <v>156</v>
      </c>
      <c r="J527" s="25">
        <f t="shared" si="34"/>
        <v>156</v>
      </c>
      <c r="K527" s="27">
        <f t="shared" si="36"/>
        <v>316</v>
      </c>
      <c r="L527" s="27">
        <v>50000</v>
      </c>
      <c r="M527" s="27">
        <v>74000</v>
      </c>
      <c r="N527" s="28">
        <v>125</v>
      </c>
      <c r="P527" s="25" t="s">
        <v>573</v>
      </c>
    </row>
    <row r="528" spans="1:16" s="25" customFormat="1" x14ac:dyDescent="0.25">
      <c r="A528" s="25" t="s">
        <v>27</v>
      </c>
      <c r="B528" s="25" t="s">
        <v>35</v>
      </c>
      <c r="C528" s="25">
        <v>5000</v>
      </c>
      <c r="D528" s="25">
        <v>157</v>
      </c>
      <c r="E528" s="25">
        <f t="shared" si="35"/>
        <v>0.13500000000000001</v>
      </c>
      <c r="F528" s="25">
        <v>65</v>
      </c>
      <c r="G528" s="25">
        <v>25</v>
      </c>
      <c r="H528" s="25">
        <v>150</v>
      </c>
      <c r="I528" s="25">
        <f t="shared" ref="I528:I593" si="37">D528</f>
        <v>157</v>
      </c>
      <c r="J528" s="25">
        <f t="shared" ref="J528:J593" si="38">D528</f>
        <v>157</v>
      </c>
      <c r="K528" s="27">
        <f t="shared" si="36"/>
        <v>317</v>
      </c>
      <c r="L528" s="27">
        <v>50000</v>
      </c>
      <c r="M528" s="27">
        <v>74000</v>
      </c>
      <c r="N528" s="28">
        <v>125</v>
      </c>
      <c r="P528" s="25" t="s">
        <v>574</v>
      </c>
    </row>
    <row r="529" spans="1:16" s="25" customFormat="1" x14ac:dyDescent="0.25">
      <c r="A529" s="25" t="s">
        <v>27</v>
      </c>
      <c r="B529" s="25" t="s">
        <v>35</v>
      </c>
      <c r="C529" s="25">
        <v>5000</v>
      </c>
      <c r="D529" s="26">
        <v>158</v>
      </c>
      <c r="E529" s="25">
        <f t="shared" si="35"/>
        <v>0.13500000000000001</v>
      </c>
      <c r="F529" s="25">
        <v>65</v>
      </c>
      <c r="G529" s="25">
        <v>25</v>
      </c>
      <c r="H529" s="25">
        <v>150</v>
      </c>
      <c r="I529" s="25">
        <f t="shared" si="37"/>
        <v>158</v>
      </c>
      <c r="J529" s="25">
        <f t="shared" si="38"/>
        <v>158</v>
      </c>
      <c r="K529" s="27">
        <f t="shared" si="36"/>
        <v>318</v>
      </c>
      <c r="L529" s="27">
        <v>50000</v>
      </c>
      <c r="M529" s="27">
        <v>74000</v>
      </c>
      <c r="N529" s="28">
        <v>125</v>
      </c>
      <c r="P529" s="25" t="s">
        <v>575</v>
      </c>
    </row>
    <row r="530" spans="1:16" s="25" customFormat="1" x14ac:dyDescent="0.25">
      <c r="A530" s="25" t="s">
        <v>27</v>
      </c>
      <c r="B530" s="25" t="s">
        <v>35</v>
      </c>
      <c r="C530" s="25">
        <v>5000</v>
      </c>
      <c r="D530" s="26">
        <v>159</v>
      </c>
      <c r="E530" s="25">
        <f t="shared" si="35"/>
        <v>0.13500000000000001</v>
      </c>
      <c r="F530" s="25">
        <v>65</v>
      </c>
      <c r="G530" s="25">
        <v>25</v>
      </c>
      <c r="H530" s="25">
        <v>150</v>
      </c>
      <c r="I530" s="25">
        <f t="shared" si="37"/>
        <v>159</v>
      </c>
      <c r="J530" s="25">
        <f t="shared" si="38"/>
        <v>159</v>
      </c>
      <c r="K530" s="27">
        <f t="shared" si="36"/>
        <v>319</v>
      </c>
      <c r="L530" s="27">
        <v>50000</v>
      </c>
      <c r="M530" s="27">
        <v>74000</v>
      </c>
      <c r="N530" s="28">
        <v>125</v>
      </c>
      <c r="P530" s="25" t="s">
        <v>576</v>
      </c>
    </row>
    <row r="531" spans="1:16" s="25" customFormat="1" x14ac:dyDescent="0.25">
      <c r="A531" s="25" t="s">
        <v>27</v>
      </c>
      <c r="B531" s="25" t="s">
        <v>35</v>
      </c>
      <c r="C531" s="25">
        <v>5000</v>
      </c>
      <c r="D531" s="25">
        <v>160</v>
      </c>
      <c r="E531" s="25">
        <f t="shared" si="35"/>
        <v>0.13500000000000001</v>
      </c>
      <c r="F531" s="25">
        <v>65</v>
      </c>
      <c r="G531" s="25">
        <v>25</v>
      </c>
      <c r="H531" s="25">
        <v>150</v>
      </c>
      <c r="I531" s="25">
        <f t="shared" si="37"/>
        <v>160</v>
      </c>
      <c r="J531" s="25">
        <f t="shared" si="38"/>
        <v>160</v>
      </c>
      <c r="K531" s="27">
        <f t="shared" si="36"/>
        <v>320</v>
      </c>
      <c r="L531" s="27">
        <v>50000</v>
      </c>
      <c r="M531" s="27">
        <v>74000</v>
      </c>
      <c r="N531" s="28">
        <v>125</v>
      </c>
      <c r="P531" s="25" t="s">
        <v>577</v>
      </c>
    </row>
    <row r="532" spans="1:16" s="25" customFormat="1" x14ac:dyDescent="0.25">
      <c r="A532" s="28" t="s">
        <v>27</v>
      </c>
      <c r="B532" s="25" t="s">
        <v>36</v>
      </c>
      <c r="C532" s="25">
        <v>7500</v>
      </c>
      <c r="D532" s="30">
        <v>8</v>
      </c>
      <c r="E532" s="28">
        <f t="shared" ref="E532:E597" si="39">AVERAGE(0.13,0.08)</f>
        <v>0.10500000000000001</v>
      </c>
      <c r="F532" s="28">
        <v>80</v>
      </c>
      <c r="G532" s="28">
        <v>25</v>
      </c>
      <c r="H532" s="28">
        <v>150</v>
      </c>
      <c r="I532" s="28">
        <f t="shared" si="37"/>
        <v>8</v>
      </c>
      <c r="J532" s="28">
        <f t="shared" si="38"/>
        <v>8</v>
      </c>
      <c r="K532" s="159">
        <f>180+D532</f>
        <v>188</v>
      </c>
      <c r="L532" s="24">
        <v>75000</v>
      </c>
      <c r="M532" s="3">
        <v>98000</v>
      </c>
      <c r="N532" s="28">
        <v>160</v>
      </c>
      <c r="P532" s="25" t="s">
        <v>941</v>
      </c>
    </row>
    <row r="533" spans="1:16" s="25" customFormat="1" x14ac:dyDescent="0.25">
      <c r="A533" s="28" t="s">
        <v>27</v>
      </c>
      <c r="B533" s="25" t="s">
        <v>36</v>
      </c>
      <c r="C533" s="25">
        <v>7500</v>
      </c>
      <c r="D533" s="28">
        <v>9</v>
      </c>
      <c r="E533" s="28">
        <f t="shared" si="39"/>
        <v>0.10500000000000001</v>
      </c>
      <c r="F533" s="28">
        <v>80</v>
      </c>
      <c r="G533" s="28">
        <v>25</v>
      </c>
      <c r="H533" s="28">
        <v>150</v>
      </c>
      <c r="I533" s="28">
        <f t="shared" si="37"/>
        <v>9</v>
      </c>
      <c r="J533" s="28">
        <f t="shared" si="38"/>
        <v>9</v>
      </c>
      <c r="K533" s="29">
        <f t="shared" ref="K533" si="40">180+D533</f>
        <v>189</v>
      </c>
      <c r="L533" s="24">
        <v>75000</v>
      </c>
      <c r="M533" s="3">
        <v>98000</v>
      </c>
      <c r="N533" s="28">
        <v>160</v>
      </c>
      <c r="P533" s="25" t="s">
        <v>942</v>
      </c>
    </row>
    <row r="534" spans="1:16" s="28" customFormat="1" x14ac:dyDescent="0.25">
      <c r="A534" s="28" t="s">
        <v>27</v>
      </c>
      <c r="B534" s="25" t="s">
        <v>36</v>
      </c>
      <c r="C534" s="25">
        <v>7500</v>
      </c>
      <c r="D534" s="28">
        <v>10</v>
      </c>
      <c r="E534" s="28">
        <f t="shared" si="39"/>
        <v>0.10500000000000001</v>
      </c>
      <c r="F534" s="28">
        <v>80</v>
      </c>
      <c r="G534" s="28">
        <v>25</v>
      </c>
      <c r="H534" s="28">
        <v>150</v>
      </c>
      <c r="I534" s="28">
        <f t="shared" si="37"/>
        <v>10</v>
      </c>
      <c r="J534" s="28">
        <f t="shared" si="38"/>
        <v>10</v>
      </c>
      <c r="K534" s="29">
        <f>180+D534</f>
        <v>190</v>
      </c>
      <c r="L534" s="24">
        <v>75000</v>
      </c>
      <c r="M534" s="3">
        <v>98000</v>
      </c>
      <c r="N534" s="28">
        <v>160</v>
      </c>
      <c r="P534" s="25" t="s">
        <v>578</v>
      </c>
    </row>
    <row r="535" spans="1:16" s="28" customFormat="1" x14ac:dyDescent="0.25">
      <c r="A535" s="28" t="s">
        <v>27</v>
      </c>
      <c r="B535" s="25" t="s">
        <v>36</v>
      </c>
      <c r="C535" s="25">
        <v>7500</v>
      </c>
      <c r="D535" s="30">
        <v>11</v>
      </c>
      <c r="E535" s="28">
        <f t="shared" si="39"/>
        <v>0.10500000000000001</v>
      </c>
      <c r="F535" s="28">
        <v>80</v>
      </c>
      <c r="G535" s="28">
        <v>25</v>
      </c>
      <c r="H535" s="28">
        <v>150</v>
      </c>
      <c r="I535" s="28">
        <f t="shared" si="37"/>
        <v>11</v>
      </c>
      <c r="J535" s="28">
        <f t="shared" si="38"/>
        <v>11</v>
      </c>
      <c r="K535" s="29">
        <f t="shared" ref="K535:K598" si="41">180+D535</f>
        <v>191</v>
      </c>
      <c r="L535" s="24">
        <v>75000</v>
      </c>
      <c r="M535" s="3">
        <v>98000</v>
      </c>
      <c r="N535" s="28">
        <v>160</v>
      </c>
      <c r="P535" s="25" t="s">
        <v>579</v>
      </c>
    </row>
    <row r="536" spans="1:16" s="28" customFormat="1" x14ac:dyDescent="0.25">
      <c r="A536" s="28" t="s">
        <v>27</v>
      </c>
      <c r="B536" s="25" t="s">
        <v>36</v>
      </c>
      <c r="C536" s="25">
        <v>7500</v>
      </c>
      <c r="D536" s="30">
        <v>12</v>
      </c>
      <c r="E536" s="28">
        <f t="shared" si="39"/>
        <v>0.10500000000000001</v>
      </c>
      <c r="F536" s="28">
        <v>80</v>
      </c>
      <c r="G536" s="28">
        <v>25</v>
      </c>
      <c r="H536" s="28">
        <v>150</v>
      </c>
      <c r="I536" s="28">
        <f t="shared" si="37"/>
        <v>12</v>
      </c>
      <c r="J536" s="28">
        <f t="shared" si="38"/>
        <v>12</v>
      </c>
      <c r="K536" s="29">
        <f t="shared" si="41"/>
        <v>192</v>
      </c>
      <c r="L536" s="24">
        <v>75000</v>
      </c>
      <c r="M536" s="3">
        <v>98000</v>
      </c>
      <c r="N536" s="28">
        <v>160</v>
      </c>
      <c r="P536" s="25" t="s">
        <v>580</v>
      </c>
    </row>
    <row r="537" spans="1:16" s="28" customFormat="1" x14ac:dyDescent="0.25">
      <c r="A537" s="28" t="s">
        <v>27</v>
      </c>
      <c r="B537" s="25" t="s">
        <v>36</v>
      </c>
      <c r="C537" s="25">
        <v>7500</v>
      </c>
      <c r="D537" s="28">
        <v>13</v>
      </c>
      <c r="E537" s="28">
        <f t="shared" si="39"/>
        <v>0.10500000000000001</v>
      </c>
      <c r="F537" s="28">
        <v>80</v>
      </c>
      <c r="G537" s="28">
        <v>25</v>
      </c>
      <c r="H537" s="28">
        <v>150</v>
      </c>
      <c r="I537" s="28">
        <f t="shared" si="37"/>
        <v>13</v>
      </c>
      <c r="J537" s="28">
        <f t="shared" si="38"/>
        <v>13</v>
      </c>
      <c r="K537" s="29">
        <f t="shared" si="41"/>
        <v>193</v>
      </c>
      <c r="L537" s="24">
        <v>75000</v>
      </c>
      <c r="M537" s="3">
        <v>98000</v>
      </c>
      <c r="N537" s="28">
        <v>160</v>
      </c>
      <c r="P537" s="25" t="s">
        <v>581</v>
      </c>
    </row>
    <row r="538" spans="1:16" s="28" customFormat="1" x14ac:dyDescent="0.25">
      <c r="A538" s="28" t="s">
        <v>27</v>
      </c>
      <c r="B538" s="25" t="s">
        <v>36</v>
      </c>
      <c r="C538" s="25">
        <v>7500</v>
      </c>
      <c r="D538" s="30">
        <v>14</v>
      </c>
      <c r="E538" s="28">
        <f t="shared" si="39"/>
        <v>0.10500000000000001</v>
      </c>
      <c r="F538" s="28">
        <v>80</v>
      </c>
      <c r="G538" s="28">
        <v>25</v>
      </c>
      <c r="H538" s="28">
        <v>150</v>
      </c>
      <c r="I538" s="28">
        <f t="shared" si="37"/>
        <v>14</v>
      </c>
      <c r="J538" s="28">
        <f t="shared" si="38"/>
        <v>14</v>
      </c>
      <c r="K538" s="29">
        <f t="shared" si="41"/>
        <v>194</v>
      </c>
      <c r="L538" s="24">
        <v>75000</v>
      </c>
      <c r="M538" s="3">
        <v>98000</v>
      </c>
      <c r="N538" s="28">
        <v>160</v>
      </c>
      <c r="P538" s="25" t="s">
        <v>582</v>
      </c>
    </row>
    <row r="539" spans="1:16" s="28" customFormat="1" x14ac:dyDescent="0.25">
      <c r="A539" s="28" t="s">
        <v>27</v>
      </c>
      <c r="B539" s="25" t="s">
        <v>36</v>
      </c>
      <c r="C539" s="25">
        <v>7500</v>
      </c>
      <c r="D539" s="30">
        <v>15</v>
      </c>
      <c r="E539" s="28">
        <f t="shared" si="39"/>
        <v>0.10500000000000001</v>
      </c>
      <c r="F539" s="28">
        <v>80</v>
      </c>
      <c r="G539" s="28">
        <v>25</v>
      </c>
      <c r="H539" s="28">
        <v>150</v>
      </c>
      <c r="I539" s="28">
        <f t="shared" si="37"/>
        <v>15</v>
      </c>
      <c r="J539" s="28">
        <f t="shared" si="38"/>
        <v>15</v>
      </c>
      <c r="K539" s="29">
        <f t="shared" si="41"/>
        <v>195</v>
      </c>
      <c r="L539" s="24">
        <v>75000</v>
      </c>
      <c r="M539" s="3">
        <v>98000</v>
      </c>
      <c r="N539" s="28">
        <v>160</v>
      </c>
      <c r="P539" s="25" t="s">
        <v>583</v>
      </c>
    </row>
    <row r="540" spans="1:16" s="28" customFormat="1" x14ac:dyDescent="0.25">
      <c r="A540" s="28" t="s">
        <v>27</v>
      </c>
      <c r="B540" s="25" t="s">
        <v>36</v>
      </c>
      <c r="C540" s="25">
        <v>7500</v>
      </c>
      <c r="D540" s="28">
        <v>16</v>
      </c>
      <c r="E540" s="28">
        <f t="shared" si="39"/>
        <v>0.10500000000000001</v>
      </c>
      <c r="F540" s="28">
        <v>80</v>
      </c>
      <c r="G540" s="28">
        <v>25</v>
      </c>
      <c r="H540" s="28">
        <v>150</v>
      </c>
      <c r="I540" s="28">
        <f t="shared" si="37"/>
        <v>16</v>
      </c>
      <c r="J540" s="28">
        <f t="shared" si="38"/>
        <v>16</v>
      </c>
      <c r="K540" s="29">
        <f t="shared" si="41"/>
        <v>196</v>
      </c>
      <c r="L540" s="24">
        <v>75000</v>
      </c>
      <c r="M540" s="3">
        <v>98000</v>
      </c>
      <c r="N540" s="28">
        <v>160</v>
      </c>
      <c r="P540" s="25" t="s">
        <v>584</v>
      </c>
    </row>
    <row r="541" spans="1:16" s="28" customFormat="1" x14ac:dyDescent="0.25">
      <c r="A541" s="28" t="s">
        <v>27</v>
      </c>
      <c r="B541" s="25" t="s">
        <v>36</v>
      </c>
      <c r="C541" s="25">
        <v>7500</v>
      </c>
      <c r="D541" s="30">
        <v>17</v>
      </c>
      <c r="E541" s="28">
        <f t="shared" si="39"/>
        <v>0.10500000000000001</v>
      </c>
      <c r="F541" s="28">
        <v>80</v>
      </c>
      <c r="G541" s="28">
        <v>25</v>
      </c>
      <c r="H541" s="28">
        <v>150</v>
      </c>
      <c r="I541" s="28">
        <f t="shared" si="37"/>
        <v>17</v>
      </c>
      <c r="J541" s="28">
        <f t="shared" si="38"/>
        <v>17</v>
      </c>
      <c r="K541" s="29">
        <f t="shared" si="41"/>
        <v>197</v>
      </c>
      <c r="L541" s="24">
        <v>75000</v>
      </c>
      <c r="M541" s="3">
        <v>98000</v>
      </c>
      <c r="N541" s="28">
        <v>160</v>
      </c>
      <c r="P541" s="25" t="s">
        <v>585</v>
      </c>
    </row>
    <row r="542" spans="1:16" s="28" customFormat="1" x14ac:dyDescent="0.25">
      <c r="A542" s="28" t="s">
        <v>27</v>
      </c>
      <c r="B542" s="25" t="s">
        <v>36</v>
      </c>
      <c r="C542" s="25">
        <v>7500</v>
      </c>
      <c r="D542" s="30">
        <v>18</v>
      </c>
      <c r="E542" s="28">
        <f t="shared" si="39"/>
        <v>0.10500000000000001</v>
      </c>
      <c r="F542" s="28">
        <v>80</v>
      </c>
      <c r="G542" s="28">
        <v>25</v>
      </c>
      <c r="H542" s="28">
        <v>150</v>
      </c>
      <c r="I542" s="28">
        <f t="shared" si="37"/>
        <v>18</v>
      </c>
      <c r="J542" s="28">
        <f t="shared" si="38"/>
        <v>18</v>
      </c>
      <c r="K542" s="29">
        <f t="shared" si="41"/>
        <v>198</v>
      </c>
      <c r="L542" s="24">
        <v>75000</v>
      </c>
      <c r="M542" s="3">
        <v>98000</v>
      </c>
      <c r="N542" s="28">
        <v>160</v>
      </c>
      <c r="P542" s="25" t="s">
        <v>586</v>
      </c>
    </row>
    <row r="543" spans="1:16" s="28" customFormat="1" x14ac:dyDescent="0.25">
      <c r="A543" s="28" t="s">
        <v>27</v>
      </c>
      <c r="B543" s="25" t="s">
        <v>36</v>
      </c>
      <c r="C543" s="25">
        <v>7500</v>
      </c>
      <c r="D543" s="28">
        <v>19</v>
      </c>
      <c r="E543" s="28">
        <f t="shared" si="39"/>
        <v>0.10500000000000001</v>
      </c>
      <c r="F543" s="28">
        <v>80</v>
      </c>
      <c r="G543" s="28">
        <v>25</v>
      </c>
      <c r="H543" s="28">
        <v>150</v>
      </c>
      <c r="I543" s="28">
        <f t="shared" si="37"/>
        <v>19</v>
      </c>
      <c r="J543" s="28">
        <f t="shared" si="38"/>
        <v>19</v>
      </c>
      <c r="K543" s="29">
        <f t="shared" si="41"/>
        <v>199</v>
      </c>
      <c r="L543" s="24">
        <v>75000</v>
      </c>
      <c r="M543" s="3">
        <v>98000</v>
      </c>
      <c r="N543" s="28">
        <v>160</v>
      </c>
      <c r="P543" s="25" t="s">
        <v>587</v>
      </c>
    </row>
    <row r="544" spans="1:16" s="28" customFormat="1" x14ac:dyDescent="0.25">
      <c r="A544" s="28" t="s">
        <v>27</v>
      </c>
      <c r="B544" s="25" t="s">
        <v>36</v>
      </c>
      <c r="C544" s="25">
        <v>7500</v>
      </c>
      <c r="D544" s="30">
        <v>20</v>
      </c>
      <c r="E544" s="28">
        <f t="shared" si="39"/>
        <v>0.10500000000000001</v>
      </c>
      <c r="F544" s="28">
        <v>80</v>
      </c>
      <c r="G544" s="28">
        <v>25</v>
      </c>
      <c r="H544" s="28">
        <v>150</v>
      </c>
      <c r="I544" s="28">
        <f t="shared" si="37"/>
        <v>20</v>
      </c>
      <c r="J544" s="28">
        <f t="shared" si="38"/>
        <v>20</v>
      </c>
      <c r="K544" s="29">
        <f t="shared" si="41"/>
        <v>200</v>
      </c>
      <c r="L544" s="24">
        <v>75000</v>
      </c>
      <c r="M544" s="3">
        <v>98000</v>
      </c>
      <c r="N544" s="28">
        <v>160</v>
      </c>
      <c r="P544" s="25" t="s">
        <v>588</v>
      </c>
    </row>
    <row r="545" spans="1:16" s="28" customFormat="1" x14ac:dyDescent="0.25">
      <c r="A545" s="28" t="s">
        <v>27</v>
      </c>
      <c r="B545" s="25" t="s">
        <v>36</v>
      </c>
      <c r="C545" s="25">
        <v>7500</v>
      </c>
      <c r="D545" s="30">
        <v>21</v>
      </c>
      <c r="E545" s="28">
        <f t="shared" si="39"/>
        <v>0.10500000000000001</v>
      </c>
      <c r="F545" s="28">
        <v>80</v>
      </c>
      <c r="G545" s="28">
        <v>25</v>
      </c>
      <c r="H545" s="28">
        <v>150</v>
      </c>
      <c r="I545" s="28">
        <f t="shared" si="37"/>
        <v>21</v>
      </c>
      <c r="J545" s="28">
        <f t="shared" si="38"/>
        <v>21</v>
      </c>
      <c r="K545" s="29">
        <f t="shared" si="41"/>
        <v>201</v>
      </c>
      <c r="L545" s="24">
        <v>75000</v>
      </c>
      <c r="M545" s="3">
        <v>98000</v>
      </c>
      <c r="N545" s="28">
        <v>160</v>
      </c>
      <c r="P545" s="25" t="s">
        <v>589</v>
      </c>
    </row>
    <row r="546" spans="1:16" s="28" customFormat="1" x14ac:dyDescent="0.25">
      <c r="A546" s="28" t="s">
        <v>27</v>
      </c>
      <c r="B546" s="25" t="s">
        <v>36</v>
      </c>
      <c r="C546" s="25">
        <v>7500</v>
      </c>
      <c r="D546" s="28">
        <v>22</v>
      </c>
      <c r="E546" s="28">
        <f t="shared" si="39"/>
        <v>0.10500000000000001</v>
      </c>
      <c r="F546" s="28">
        <v>80</v>
      </c>
      <c r="G546" s="28">
        <v>25</v>
      </c>
      <c r="H546" s="28">
        <v>150</v>
      </c>
      <c r="I546" s="28">
        <f t="shared" si="37"/>
        <v>22</v>
      </c>
      <c r="J546" s="28">
        <f t="shared" si="38"/>
        <v>22</v>
      </c>
      <c r="K546" s="29">
        <f t="shared" si="41"/>
        <v>202</v>
      </c>
      <c r="L546" s="24">
        <v>75000</v>
      </c>
      <c r="M546" s="3">
        <v>98000</v>
      </c>
      <c r="N546" s="28">
        <v>160</v>
      </c>
      <c r="P546" s="25" t="s">
        <v>590</v>
      </c>
    </row>
    <row r="547" spans="1:16" s="28" customFormat="1" x14ac:dyDescent="0.25">
      <c r="A547" s="28" t="s">
        <v>27</v>
      </c>
      <c r="B547" s="25" t="s">
        <v>36</v>
      </c>
      <c r="C547" s="25">
        <v>7500</v>
      </c>
      <c r="D547" s="30">
        <v>23</v>
      </c>
      <c r="E547" s="28">
        <f t="shared" si="39"/>
        <v>0.10500000000000001</v>
      </c>
      <c r="F547" s="28">
        <v>80</v>
      </c>
      <c r="G547" s="28">
        <v>25</v>
      </c>
      <c r="H547" s="28">
        <v>150</v>
      </c>
      <c r="I547" s="28">
        <f t="shared" si="37"/>
        <v>23</v>
      </c>
      <c r="J547" s="28">
        <f t="shared" si="38"/>
        <v>23</v>
      </c>
      <c r="K547" s="29">
        <f t="shared" si="41"/>
        <v>203</v>
      </c>
      <c r="L547" s="24">
        <v>75000</v>
      </c>
      <c r="M547" s="3">
        <v>98000</v>
      </c>
      <c r="N547" s="28">
        <v>160</v>
      </c>
      <c r="P547" s="25" t="s">
        <v>591</v>
      </c>
    </row>
    <row r="548" spans="1:16" s="28" customFormat="1" x14ac:dyDescent="0.25">
      <c r="A548" s="28" t="s">
        <v>27</v>
      </c>
      <c r="B548" s="25" t="s">
        <v>36</v>
      </c>
      <c r="C548" s="25">
        <v>7500</v>
      </c>
      <c r="D548" s="30">
        <v>24</v>
      </c>
      <c r="E548" s="28">
        <f t="shared" si="39"/>
        <v>0.10500000000000001</v>
      </c>
      <c r="F548" s="28">
        <v>80</v>
      </c>
      <c r="G548" s="28">
        <v>25</v>
      </c>
      <c r="H548" s="28">
        <v>150</v>
      </c>
      <c r="I548" s="28">
        <f t="shared" si="37"/>
        <v>24</v>
      </c>
      <c r="J548" s="28">
        <f t="shared" si="38"/>
        <v>24</v>
      </c>
      <c r="K548" s="29">
        <f t="shared" si="41"/>
        <v>204</v>
      </c>
      <c r="L548" s="24">
        <v>75000</v>
      </c>
      <c r="M548" s="3">
        <v>98000</v>
      </c>
      <c r="N548" s="28">
        <v>160</v>
      </c>
      <c r="P548" s="25" t="s">
        <v>592</v>
      </c>
    </row>
    <row r="549" spans="1:16" s="28" customFormat="1" x14ac:dyDescent="0.25">
      <c r="A549" s="28" t="s">
        <v>27</v>
      </c>
      <c r="B549" s="25" t="s">
        <v>36</v>
      </c>
      <c r="C549" s="25">
        <v>7500</v>
      </c>
      <c r="D549" s="28">
        <v>25</v>
      </c>
      <c r="E549" s="28">
        <f t="shared" si="39"/>
        <v>0.10500000000000001</v>
      </c>
      <c r="F549" s="28">
        <v>80</v>
      </c>
      <c r="G549" s="28">
        <v>25</v>
      </c>
      <c r="H549" s="28">
        <v>150</v>
      </c>
      <c r="I549" s="28">
        <f t="shared" si="37"/>
        <v>25</v>
      </c>
      <c r="J549" s="28">
        <f t="shared" si="38"/>
        <v>25</v>
      </c>
      <c r="K549" s="29">
        <f t="shared" si="41"/>
        <v>205</v>
      </c>
      <c r="L549" s="24">
        <v>75000</v>
      </c>
      <c r="M549" s="3">
        <v>98000</v>
      </c>
      <c r="N549" s="28">
        <v>160</v>
      </c>
      <c r="P549" s="25" t="s">
        <v>593</v>
      </c>
    </row>
    <row r="550" spans="1:16" s="28" customFormat="1" x14ac:dyDescent="0.25">
      <c r="A550" s="28" t="s">
        <v>27</v>
      </c>
      <c r="B550" s="25" t="s">
        <v>36</v>
      </c>
      <c r="C550" s="25">
        <v>7500</v>
      </c>
      <c r="D550" s="30">
        <v>26</v>
      </c>
      <c r="E550" s="28">
        <f t="shared" si="39"/>
        <v>0.10500000000000001</v>
      </c>
      <c r="F550" s="28">
        <v>80</v>
      </c>
      <c r="G550" s="28">
        <v>25</v>
      </c>
      <c r="H550" s="28">
        <v>150</v>
      </c>
      <c r="I550" s="28">
        <f t="shared" si="37"/>
        <v>26</v>
      </c>
      <c r="J550" s="28">
        <f t="shared" si="38"/>
        <v>26</v>
      </c>
      <c r="K550" s="29">
        <f t="shared" si="41"/>
        <v>206</v>
      </c>
      <c r="L550" s="24">
        <v>75000</v>
      </c>
      <c r="M550" s="3">
        <v>98000</v>
      </c>
      <c r="N550" s="28">
        <v>160</v>
      </c>
      <c r="P550" s="25" t="s">
        <v>594</v>
      </c>
    </row>
    <row r="551" spans="1:16" s="28" customFormat="1" x14ac:dyDescent="0.25">
      <c r="A551" s="28" t="s">
        <v>27</v>
      </c>
      <c r="B551" s="25" t="s">
        <v>36</v>
      </c>
      <c r="C551" s="25">
        <v>7500</v>
      </c>
      <c r="D551" s="30">
        <v>27</v>
      </c>
      <c r="E551" s="28">
        <f t="shared" si="39"/>
        <v>0.10500000000000001</v>
      </c>
      <c r="F551" s="28">
        <v>80</v>
      </c>
      <c r="G551" s="28">
        <v>25</v>
      </c>
      <c r="H551" s="28">
        <v>150</v>
      </c>
      <c r="I551" s="28">
        <f t="shared" si="37"/>
        <v>27</v>
      </c>
      <c r="J551" s="28">
        <f t="shared" si="38"/>
        <v>27</v>
      </c>
      <c r="K551" s="29">
        <f t="shared" si="41"/>
        <v>207</v>
      </c>
      <c r="L551" s="24">
        <v>75000</v>
      </c>
      <c r="M551" s="3">
        <v>98000</v>
      </c>
      <c r="N551" s="28">
        <v>160</v>
      </c>
      <c r="P551" s="25" t="s">
        <v>595</v>
      </c>
    </row>
    <row r="552" spans="1:16" s="28" customFormat="1" x14ac:dyDescent="0.25">
      <c r="A552" s="28" t="s">
        <v>27</v>
      </c>
      <c r="B552" s="25" t="s">
        <v>36</v>
      </c>
      <c r="C552" s="25">
        <v>7500</v>
      </c>
      <c r="D552" s="28">
        <v>28</v>
      </c>
      <c r="E552" s="28">
        <f t="shared" si="39"/>
        <v>0.10500000000000001</v>
      </c>
      <c r="F552" s="28">
        <v>80</v>
      </c>
      <c r="G552" s="28">
        <v>25</v>
      </c>
      <c r="H552" s="28">
        <v>150</v>
      </c>
      <c r="I552" s="28">
        <f t="shared" si="37"/>
        <v>28</v>
      </c>
      <c r="J552" s="28">
        <f t="shared" si="38"/>
        <v>28</v>
      </c>
      <c r="K552" s="29">
        <f t="shared" si="41"/>
        <v>208</v>
      </c>
      <c r="L552" s="24">
        <v>75000</v>
      </c>
      <c r="M552" s="3">
        <v>98000</v>
      </c>
      <c r="N552" s="28">
        <v>160</v>
      </c>
      <c r="P552" s="25" t="s">
        <v>596</v>
      </c>
    </row>
    <row r="553" spans="1:16" s="28" customFormat="1" x14ac:dyDescent="0.25">
      <c r="A553" s="28" t="s">
        <v>27</v>
      </c>
      <c r="B553" s="25" t="s">
        <v>36</v>
      </c>
      <c r="C553" s="25">
        <v>7500</v>
      </c>
      <c r="D553" s="30">
        <v>29</v>
      </c>
      <c r="E553" s="28">
        <f t="shared" si="39"/>
        <v>0.10500000000000001</v>
      </c>
      <c r="F553" s="28">
        <v>80</v>
      </c>
      <c r="G553" s="28">
        <v>25</v>
      </c>
      <c r="H553" s="28">
        <v>150</v>
      </c>
      <c r="I553" s="28">
        <f t="shared" si="37"/>
        <v>29</v>
      </c>
      <c r="J553" s="28">
        <f t="shared" si="38"/>
        <v>29</v>
      </c>
      <c r="K553" s="29">
        <f t="shared" si="41"/>
        <v>209</v>
      </c>
      <c r="L553" s="24">
        <v>75000</v>
      </c>
      <c r="M553" s="3">
        <v>98000</v>
      </c>
      <c r="N553" s="28">
        <v>160</v>
      </c>
      <c r="P553" s="25" t="s">
        <v>597</v>
      </c>
    </row>
    <row r="554" spans="1:16" s="28" customFormat="1" x14ac:dyDescent="0.25">
      <c r="A554" s="28" t="s">
        <v>27</v>
      </c>
      <c r="B554" s="25" t="s">
        <v>36</v>
      </c>
      <c r="C554" s="25">
        <v>7500</v>
      </c>
      <c r="D554" s="30">
        <v>30</v>
      </c>
      <c r="E554" s="28">
        <f t="shared" si="39"/>
        <v>0.10500000000000001</v>
      </c>
      <c r="F554" s="28">
        <v>80</v>
      </c>
      <c r="G554" s="28">
        <v>25</v>
      </c>
      <c r="H554" s="28">
        <v>150</v>
      </c>
      <c r="I554" s="28">
        <f t="shared" si="37"/>
        <v>30</v>
      </c>
      <c r="J554" s="28">
        <f t="shared" si="38"/>
        <v>30</v>
      </c>
      <c r="K554" s="29">
        <f t="shared" si="41"/>
        <v>210</v>
      </c>
      <c r="L554" s="24">
        <v>75000</v>
      </c>
      <c r="M554" s="3">
        <v>98000</v>
      </c>
      <c r="N554" s="28">
        <v>160</v>
      </c>
      <c r="P554" s="25" t="s">
        <v>598</v>
      </c>
    </row>
    <row r="555" spans="1:16" s="28" customFormat="1" x14ac:dyDescent="0.25">
      <c r="A555" s="28" t="s">
        <v>27</v>
      </c>
      <c r="B555" s="25" t="s">
        <v>36</v>
      </c>
      <c r="C555" s="25">
        <v>7500</v>
      </c>
      <c r="D555" s="28">
        <v>31</v>
      </c>
      <c r="E555" s="28">
        <f t="shared" si="39"/>
        <v>0.10500000000000001</v>
      </c>
      <c r="F555" s="28">
        <v>80</v>
      </c>
      <c r="G555" s="28">
        <v>25</v>
      </c>
      <c r="H555" s="28">
        <v>150</v>
      </c>
      <c r="I555" s="28">
        <f t="shared" si="37"/>
        <v>31</v>
      </c>
      <c r="J555" s="28">
        <f t="shared" si="38"/>
        <v>31</v>
      </c>
      <c r="K555" s="29">
        <f t="shared" si="41"/>
        <v>211</v>
      </c>
      <c r="L555" s="24">
        <v>75000</v>
      </c>
      <c r="M555" s="3">
        <v>98000</v>
      </c>
      <c r="N555" s="28">
        <v>160</v>
      </c>
      <c r="P555" s="25" t="s">
        <v>599</v>
      </c>
    </row>
    <row r="556" spans="1:16" s="28" customFormat="1" x14ac:dyDescent="0.25">
      <c r="A556" s="28" t="s">
        <v>27</v>
      </c>
      <c r="B556" s="25" t="s">
        <v>36</v>
      </c>
      <c r="C556" s="25">
        <v>7500</v>
      </c>
      <c r="D556" s="30">
        <v>32</v>
      </c>
      <c r="E556" s="28">
        <f t="shared" si="39"/>
        <v>0.10500000000000001</v>
      </c>
      <c r="F556" s="28">
        <v>80</v>
      </c>
      <c r="G556" s="28">
        <v>25</v>
      </c>
      <c r="H556" s="28">
        <v>150</v>
      </c>
      <c r="I556" s="28">
        <f t="shared" si="37"/>
        <v>32</v>
      </c>
      <c r="J556" s="28">
        <f t="shared" si="38"/>
        <v>32</v>
      </c>
      <c r="K556" s="29">
        <f t="shared" si="41"/>
        <v>212</v>
      </c>
      <c r="L556" s="24">
        <v>75000</v>
      </c>
      <c r="M556" s="3">
        <v>98000</v>
      </c>
      <c r="N556" s="28">
        <v>160</v>
      </c>
      <c r="P556" s="25" t="s">
        <v>600</v>
      </c>
    </row>
    <row r="557" spans="1:16" s="28" customFormat="1" x14ac:dyDescent="0.25">
      <c r="A557" s="28" t="s">
        <v>27</v>
      </c>
      <c r="B557" s="25" t="s">
        <v>36</v>
      </c>
      <c r="C557" s="25">
        <v>7500</v>
      </c>
      <c r="D557" s="30">
        <v>33</v>
      </c>
      <c r="E557" s="28">
        <f t="shared" si="39"/>
        <v>0.10500000000000001</v>
      </c>
      <c r="F557" s="28">
        <v>80</v>
      </c>
      <c r="G557" s="28">
        <v>25</v>
      </c>
      <c r="H557" s="28">
        <v>150</v>
      </c>
      <c r="I557" s="28">
        <f t="shared" si="37"/>
        <v>33</v>
      </c>
      <c r="J557" s="28">
        <f t="shared" si="38"/>
        <v>33</v>
      </c>
      <c r="K557" s="29">
        <f t="shared" si="41"/>
        <v>213</v>
      </c>
      <c r="L557" s="24">
        <v>75000</v>
      </c>
      <c r="M557" s="3">
        <v>98000</v>
      </c>
      <c r="N557" s="28">
        <v>160</v>
      </c>
      <c r="P557" s="25" t="s">
        <v>601</v>
      </c>
    </row>
    <row r="558" spans="1:16" s="28" customFormat="1" x14ac:dyDescent="0.25">
      <c r="A558" s="28" t="s">
        <v>27</v>
      </c>
      <c r="B558" s="25" t="s">
        <v>36</v>
      </c>
      <c r="C558" s="25">
        <v>7500</v>
      </c>
      <c r="D558" s="28">
        <v>34</v>
      </c>
      <c r="E558" s="28">
        <f t="shared" si="39"/>
        <v>0.10500000000000001</v>
      </c>
      <c r="F558" s="28">
        <v>80</v>
      </c>
      <c r="G558" s="28">
        <v>25</v>
      </c>
      <c r="H558" s="28">
        <v>150</v>
      </c>
      <c r="I558" s="28">
        <f t="shared" si="37"/>
        <v>34</v>
      </c>
      <c r="J558" s="28">
        <f t="shared" si="38"/>
        <v>34</v>
      </c>
      <c r="K558" s="29">
        <f t="shared" si="41"/>
        <v>214</v>
      </c>
      <c r="L558" s="24">
        <v>75000</v>
      </c>
      <c r="M558" s="3">
        <v>98000</v>
      </c>
      <c r="N558" s="28">
        <v>160</v>
      </c>
      <c r="P558" s="25" t="s">
        <v>602</v>
      </c>
    </row>
    <row r="559" spans="1:16" s="28" customFormat="1" x14ac:dyDescent="0.25">
      <c r="A559" s="28" t="s">
        <v>27</v>
      </c>
      <c r="B559" s="25" t="s">
        <v>36</v>
      </c>
      <c r="C559" s="25">
        <v>7500</v>
      </c>
      <c r="D559" s="30">
        <v>35</v>
      </c>
      <c r="E559" s="28">
        <f t="shared" si="39"/>
        <v>0.10500000000000001</v>
      </c>
      <c r="F559" s="28">
        <v>80</v>
      </c>
      <c r="G559" s="28">
        <v>25</v>
      </c>
      <c r="H559" s="28">
        <v>150</v>
      </c>
      <c r="I559" s="28">
        <f t="shared" si="37"/>
        <v>35</v>
      </c>
      <c r="J559" s="28">
        <f t="shared" si="38"/>
        <v>35</v>
      </c>
      <c r="K559" s="29">
        <f t="shared" si="41"/>
        <v>215</v>
      </c>
      <c r="L559" s="24">
        <v>75000</v>
      </c>
      <c r="M559" s="3">
        <v>98000</v>
      </c>
      <c r="N559" s="28">
        <v>160</v>
      </c>
      <c r="P559" s="25" t="s">
        <v>603</v>
      </c>
    </row>
    <row r="560" spans="1:16" s="28" customFormat="1" x14ac:dyDescent="0.25">
      <c r="A560" s="28" t="s">
        <v>27</v>
      </c>
      <c r="B560" s="25" t="s">
        <v>36</v>
      </c>
      <c r="C560" s="25">
        <v>7500</v>
      </c>
      <c r="D560" s="30">
        <v>36</v>
      </c>
      <c r="E560" s="28">
        <f t="shared" si="39"/>
        <v>0.10500000000000001</v>
      </c>
      <c r="F560" s="28">
        <v>80</v>
      </c>
      <c r="G560" s="28">
        <v>25</v>
      </c>
      <c r="H560" s="28">
        <v>150</v>
      </c>
      <c r="I560" s="28">
        <f t="shared" si="37"/>
        <v>36</v>
      </c>
      <c r="J560" s="28">
        <f t="shared" si="38"/>
        <v>36</v>
      </c>
      <c r="K560" s="29">
        <f t="shared" si="41"/>
        <v>216</v>
      </c>
      <c r="L560" s="24">
        <v>75000</v>
      </c>
      <c r="M560" s="3">
        <v>98000</v>
      </c>
      <c r="N560" s="28">
        <v>160</v>
      </c>
      <c r="P560" s="25" t="s">
        <v>604</v>
      </c>
    </row>
    <row r="561" spans="1:16" s="28" customFormat="1" x14ac:dyDescent="0.25">
      <c r="A561" s="28" t="s">
        <v>27</v>
      </c>
      <c r="B561" s="25" t="s">
        <v>36</v>
      </c>
      <c r="C561" s="25">
        <v>7500</v>
      </c>
      <c r="D561" s="28">
        <v>37</v>
      </c>
      <c r="E561" s="28">
        <f t="shared" si="39"/>
        <v>0.10500000000000001</v>
      </c>
      <c r="F561" s="28">
        <v>80</v>
      </c>
      <c r="G561" s="28">
        <v>25</v>
      </c>
      <c r="H561" s="28">
        <v>150</v>
      </c>
      <c r="I561" s="28">
        <f t="shared" si="37"/>
        <v>37</v>
      </c>
      <c r="J561" s="28">
        <f t="shared" si="38"/>
        <v>37</v>
      </c>
      <c r="K561" s="29">
        <f t="shared" si="41"/>
        <v>217</v>
      </c>
      <c r="L561" s="24">
        <v>75000</v>
      </c>
      <c r="M561" s="3">
        <v>98000</v>
      </c>
      <c r="N561" s="28">
        <v>160</v>
      </c>
      <c r="P561" s="25" t="s">
        <v>605</v>
      </c>
    </row>
    <row r="562" spans="1:16" s="28" customFormat="1" x14ac:dyDescent="0.25">
      <c r="A562" s="28" t="s">
        <v>27</v>
      </c>
      <c r="B562" s="25" t="s">
        <v>36</v>
      </c>
      <c r="C562" s="25">
        <v>7500</v>
      </c>
      <c r="D562" s="30">
        <v>38</v>
      </c>
      <c r="E562" s="28">
        <f t="shared" si="39"/>
        <v>0.10500000000000001</v>
      </c>
      <c r="F562" s="28">
        <v>80</v>
      </c>
      <c r="G562" s="28">
        <v>25</v>
      </c>
      <c r="H562" s="28">
        <v>150</v>
      </c>
      <c r="I562" s="28">
        <f t="shared" si="37"/>
        <v>38</v>
      </c>
      <c r="J562" s="28">
        <f t="shared" si="38"/>
        <v>38</v>
      </c>
      <c r="K562" s="29">
        <f t="shared" si="41"/>
        <v>218</v>
      </c>
      <c r="L562" s="24">
        <v>75000</v>
      </c>
      <c r="M562" s="3">
        <v>98000</v>
      </c>
      <c r="N562" s="28">
        <v>160</v>
      </c>
      <c r="P562" s="25" t="s">
        <v>606</v>
      </c>
    </row>
    <row r="563" spans="1:16" s="28" customFormat="1" x14ac:dyDescent="0.25">
      <c r="A563" s="28" t="s">
        <v>27</v>
      </c>
      <c r="B563" s="25" t="s">
        <v>36</v>
      </c>
      <c r="C563" s="25">
        <v>7500</v>
      </c>
      <c r="D563" s="30">
        <v>39</v>
      </c>
      <c r="E563" s="28">
        <f t="shared" si="39"/>
        <v>0.10500000000000001</v>
      </c>
      <c r="F563" s="28">
        <v>80</v>
      </c>
      <c r="G563" s="28">
        <v>25</v>
      </c>
      <c r="H563" s="28">
        <v>150</v>
      </c>
      <c r="I563" s="28">
        <f t="shared" si="37"/>
        <v>39</v>
      </c>
      <c r="J563" s="28">
        <f t="shared" si="38"/>
        <v>39</v>
      </c>
      <c r="K563" s="29">
        <f t="shared" si="41"/>
        <v>219</v>
      </c>
      <c r="L563" s="24">
        <v>75000</v>
      </c>
      <c r="M563" s="3">
        <v>98000</v>
      </c>
      <c r="N563" s="28">
        <v>160</v>
      </c>
      <c r="P563" s="25" t="s">
        <v>607</v>
      </c>
    </row>
    <row r="564" spans="1:16" s="28" customFormat="1" x14ac:dyDescent="0.25">
      <c r="A564" s="28" t="s">
        <v>27</v>
      </c>
      <c r="B564" s="25" t="s">
        <v>36</v>
      </c>
      <c r="C564" s="25">
        <v>7500</v>
      </c>
      <c r="D564" s="28">
        <v>40</v>
      </c>
      <c r="E564" s="28">
        <f t="shared" si="39"/>
        <v>0.10500000000000001</v>
      </c>
      <c r="F564" s="28">
        <v>80</v>
      </c>
      <c r="G564" s="28">
        <v>25</v>
      </c>
      <c r="H564" s="28">
        <v>150</v>
      </c>
      <c r="I564" s="28">
        <f t="shared" si="37"/>
        <v>40</v>
      </c>
      <c r="J564" s="28">
        <f t="shared" si="38"/>
        <v>40</v>
      </c>
      <c r="K564" s="29">
        <f t="shared" si="41"/>
        <v>220</v>
      </c>
      <c r="L564" s="24">
        <v>75000</v>
      </c>
      <c r="M564" s="3">
        <v>98000</v>
      </c>
      <c r="N564" s="28">
        <v>160</v>
      </c>
      <c r="P564" s="25" t="s">
        <v>608</v>
      </c>
    </row>
    <row r="565" spans="1:16" s="28" customFormat="1" x14ac:dyDescent="0.25">
      <c r="A565" s="28" t="s">
        <v>27</v>
      </c>
      <c r="B565" s="25" t="s">
        <v>36</v>
      </c>
      <c r="C565" s="25">
        <v>7500</v>
      </c>
      <c r="D565" s="30">
        <v>41</v>
      </c>
      <c r="E565" s="28">
        <f t="shared" si="39"/>
        <v>0.10500000000000001</v>
      </c>
      <c r="F565" s="28">
        <v>80</v>
      </c>
      <c r="G565" s="28">
        <v>25</v>
      </c>
      <c r="H565" s="28">
        <v>150</v>
      </c>
      <c r="I565" s="28">
        <f t="shared" si="37"/>
        <v>41</v>
      </c>
      <c r="J565" s="28">
        <f t="shared" si="38"/>
        <v>41</v>
      </c>
      <c r="K565" s="29">
        <f t="shared" si="41"/>
        <v>221</v>
      </c>
      <c r="L565" s="24">
        <v>75000</v>
      </c>
      <c r="M565" s="3">
        <v>98000</v>
      </c>
      <c r="N565" s="28">
        <v>160</v>
      </c>
      <c r="P565" s="25" t="s">
        <v>609</v>
      </c>
    </row>
    <row r="566" spans="1:16" s="28" customFormat="1" x14ac:dyDescent="0.25">
      <c r="A566" s="28" t="s">
        <v>27</v>
      </c>
      <c r="B566" s="25" t="s">
        <v>36</v>
      </c>
      <c r="C566" s="25">
        <v>7500</v>
      </c>
      <c r="D566" s="30">
        <v>42</v>
      </c>
      <c r="E566" s="28">
        <f t="shared" si="39"/>
        <v>0.10500000000000001</v>
      </c>
      <c r="F566" s="28">
        <v>80</v>
      </c>
      <c r="G566" s="28">
        <v>25</v>
      </c>
      <c r="H566" s="28">
        <v>150</v>
      </c>
      <c r="I566" s="28">
        <f t="shared" si="37"/>
        <v>42</v>
      </c>
      <c r="J566" s="28">
        <f t="shared" si="38"/>
        <v>42</v>
      </c>
      <c r="K566" s="29">
        <f t="shared" si="41"/>
        <v>222</v>
      </c>
      <c r="L566" s="24">
        <v>75000</v>
      </c>
      <c r="M566" s="3">
        <v>98000</v>
      </c>
      <c r="N566" s="28">
        <v>160</v>
      </c>
      <c r="P566" s="25" t="s">
        <v>610</v>
      </c>
    </row>
    <row r="567" spans="1:16" s="28" customFormat="1" x14ac:dyDescent="0.25">
      <c r="A567" s="28" t="s">
        <v>27</v>
      </c>
      <c r="B567" s="25" t="s">
        <v>36</v>
      </c>
      <c r="C567" s="25">
        <v>7500</v>
      </c>
      <c r="D567" s="28">
        <v>43</v>
      </c>
      <c r="E567" s="28">
        <f t="shared" si="39"/>
        <v>0.10500000000000001</v>
      </c>
      <c r="F567" s="28">
        <v>80</v>
      </c>
      <c r="G567" s="28">
        <v>25</v>
      </c>
      <c r="H567" s="28">
        <v>150</v>
      </c>
      <c r="I567" s="28">
        <f t="shared" si="37"/>
        <v>43</v>
      </c>
      <c r="J567" s="28">
        <f t="shared" si="38"/>
        <v>43</v>
      </c>
      <c r="K567" s="29">
        <f t="shared" si="41"/>
        <v>223</v>
      </c>
      <c r="L567" s="24">
        <v>75000</v>
      </c>
      <c r="M567" s="3">
        <v>98000</v>
      </c>
      <c r="N567" s="28">
        <v>160</v>
      </c>
      <c r="P567" s="25" t="s">
        <v>611</v>
      </c>
    </row>
    <row r="568" spans="1:16" s="28" customFormat="1" x14ac:dyDescent="0.25">
      <c r="A568" s="28" t="s">
        <v>27</v>
      </c>
      <c r="B568" s="25" t="s">
        <v>36</v>
      </c>
      <c r="C568" s="25">
        <v>7500</v>
      </c>
      <c r="D568" s="30">
        <v>44</v>
      </c>
      <c r="E568" s="28">
        <f t="shared" si="39"/>
        <v>0.10500000000000001</v>
      </c>
      <c r="F568" s="28">
        <v>80</v>
      </c>
      <c r="G568" s="28">
        <v>25</v>
      </c>
      <c r="H568" s="28">
        <v>150</v>
      </c>
      <c r="I568" s="28">
        <f t="shared" si="37"/>
        <v>44</v>
      </c>
      <c r="J568" s="28">
        <f t="shared" si="38"/>
        <v>44</v>
      </c>
      <c r="K568" s="29">
        <f t="shared" si="41"/>
        <v>224</v>
      </c>
      <c r="L568" s="24">
        <v>75000</v>
      </c>
      <c r="M568" s="3">
        <v>98000</v>
      </c>
      <c r="N568" s="28">
        <v>160</v>
      </c>
      <c r="P568" s="25" t="s">
        <v>612</v>
      </c>
    </row>
    <row r="569" spans="1:16" s="28" customFormat="1" x14ac:dyDescent="0.25">
      <c r="A569" s="28" t="s">
        <v>27</v>
      </c>
      <c r="B569" s="25" t="s">
        <v>36</v>
      </c>
      <c r="C569" s="25">
        <v>7500</v>
      </c>
      <c r="D569" s="30">
        <v>45</v>
      </c>
      <c r="E569" s="28">
        <f t="shared" si="39"/>
        <v>0.10500000000000001</v>
      </c>
      <c r="F569" s="28">
        <v>80</v>
      </c>
      <c r="G569" s="28">
        <v>25</v>
      </c>
      <c r="H569" s="28">
        <v>150</v>
      </c>
      <c r="I569" s="28">
        <f t="shared" si="37"/>
        <v>45</v>
      </c>
      <c r="J569" s="28">
        <f t="shared" si="38"/>
        <v>45</v>
      </c>
      <c r="K569" s="29">
        <f t="shared" si="41"/>
        <v>225</v>
      </c>
      <c r="L569" s="24">
        <v>75000</v>
      </c>
      <c r="M569" s="3">
        <v>98000</v>
      </c>
      <c r="N569" s="28">
        <v>160</v>
      </c>
      <c r="P569" s="25" t="s">
        <v>613</v>
      </c>
    </row>
    <row r="570" spans="1:16" s="28" customFormat="1" x14ac:dyDescent="0.25">
      <c r="A570" s="28" t="s">
        <v>27</v>
      </c>
      <c r="B570" s="25" t="s">
        <v>36</v>
      </c>
      <c r="C570" s="25">
        <v>7500</v>
      </c>
      <c r="D570" s="28">
        <v>46</v>
      </c>
      <c r="E570" s="28">
        <f t="shared" si="39"/>
        <v>0.10500000000000001</v>
      </c>
      <c r="F570" s="28">
        <v>80</v>
      </c>
      <c r="G570" s="28">
        <v>25</v>
      </c>
      <c r="H570" s="28">
        <v>150</v>
      </c>
      <c r="I570" s="28">
        <f t="shared" si="37"/>
        <v>46</v>
      </c>
      <c r="J570" s="28">
        <f t="shared" si="38"/>
        <v>46</v>
      </c>
      <c r="K570" s="29">
        <f t="shared" si="41"/>
        <v>226</v>
      </c>
      <c r="L570" s="24">
        <v>75000</v>
      </c>
      <c r="M570" s="3">
        <v>98000</v>
      </c>
      <c r="N570" s="28">
        <v>160</v>
      </c>
      <c r="P570" s="25" t="s">
        <v>614</v>
      </c>
    </row>
    <row r="571" spans="1:16" s="28" customFormat="1" x14ac:dyDescent="0.25">
      <c r="A571" s="28" t="s">
        <v>27</v>
      </c>
      <c r="B571" s="25" t="s">
        <v>36</v>
      </c>
      <c r="C571" s="25">
        <v>7500</v>
      </c>
      <c r="D571" s="30">
        <v>47</v>
      </c>
      <c r="E571" s="28">
        <f t="shared" si="39"/>
        <v>0.10500000000000001</v>
      </c>
      <c r="F571" s="28">
        <v>80</v>
      </c>
      <c r="G571" s="28">
        <v>25</v>
      </c>
      <c r="H571" s="28">
        <v>150</v>
      </c>
      <c r="I571" s="28">
        <f t="shared" si="37"/>
        <v>47</v>
      </c>
      <c r="J571" s="28">
        <f t="shared" si="38"/>
        <v>47</v>
      </c>
      <c r="K571" s="29">
        <f t="shared" si="41"/>
        <v>227</v>
      </c>
      <c r="L571" s="24">
        <v>75000</v>
      </c>
      <c r="M571" s="3">
        <v>98000</v>
      </c>
      <c r="N571" s="28">
        <v>160</v>
      </c>
      <c r="P571" s="25" t="s">
        <v>615</v>
      </c>
    </row>
    <row r="572" spans="1:16" s="28" customFormat="1" x14ac:dyDescent="0.25">
      <c r="A572" s="28" t="s">
        <v>27</v>
      </c>
      <c r="B572" s="25" t="s">
        <v>36</v>
      </c>
      <c r="C572" s="25">
        <v>7500</v>
      </c>
      <c r="D572" s="30">
        <v>48</v>
      </c>
      <c r="E572" s="28">
        <f t="shared" si="39"/>
        <v>0.10500000000000001</v>
      </c>
      <c r="F572" s="28">
        <v>80</v>
      </c>
      <c r="G572" s="28">
        <v>25</v>
      </c>
      <c r="H572" s="28">
        <v>150</v>
      </c>
      <c r="I572" s="28">
        <f t="shared" si="37"/>
        <v>48</v>
      </c>
      <c r="J572" s="28">
        <f t="shared" si="38"/>
        <v>48</v>
      </c>
      <c r="K572" s="29">
        <f t="shared" si="41"/>
        <v>228</v>
      </c>
      <c r="L572" s="24">
        <v>75000</v>
      </c>
      <c r="M572" s="3">
        <v>98000</v>
      </c>
      <c r="N572" s="28">
        <v>160</v>
      </c>
      <c r="P572" s="25" t="s">
        <v>616</v>
      </c>
    </row>
    <row r="573" spans="1:16" s="28" customFormat="1" x14ac:dyDescent="0.25">
      <c r="A573" s="28" t="s">
        <v>27</v>
      </c>
      <c r="B573" s="25" t="s">
        <v>36</v>
      </c>
      <c r="C573" s="25">
        <v>7500</v>
      </c>
      <c r="D573" s="28">
        <v>49</v>
      </c>
      <c r="E573" s="28">
        <f t="shared" si="39"/>
        <v>0.10500000000000001</v>
      </c>
      <c r="F573" s="28">
        <v>80</v>
      </c>
      <c r="G573" s="28">
        <v>25</v>
      </c>
      <c r="H573" s="28">
        <v>150</v>
      </c>
      <c r="I573" s="28">
        <f t="shared" si="37"/>
        <v>49</v>
      </c>
      <c r="J573" s="28">
        <f t="shared" si="38"/>
        <v>49</v>
      </c>
      <c r="K573" s="29">
        <f t="shared" si="41"/>
        <v>229</v>
      </c>
      <c r="L573" s="24">
        <v>75000</v>
      </c>
      <c r="M573" s="3">
        <v>98000</v>
      </c>
      <c r="N573" s="28">
        <v>160</v>
      </c>
      <c r="P573" s="25" t="s">
        <v>617</v>
      </c>
    </row>
    <row r="574" spans="1:16" s="28" customFormat="1" x14ac:dyDescent="0.25">
      <c r="A574" s="28" t="s">
        <v>27</v>
      </c>
      <c r="B574" s="25" t="s">
        <v>36</v>
      </c>
      <c r="C574" s="25">
        <v>7500</v>
      </c>
      <c r="D574" s="30">
        <v>50</v>
      </c>
      <c r="E574" s="28">
        <f t="shared" si="39"/>
        <v>0.10500000000000001</v>
      </c>
      <c r="F574" s="28">
        <v>80</v>
      </c>
      <c r="G574" s="28">
        <v>25</v>
      </c>
      <c r="H574" s="28">
        <v>150</v>
      </c>
      <c r="I574" s="28">
        <f t="shared" si="37"/>
        <v>50</v>
      </c>
      <c r="J574" s="28">
        <f t="shared" si="38"/>
        <v>50</v>
      </c>
      <c r="K574" s="29">
        <f t="shared" si="41"/>
        <v>230</v>
      </c>
      <c r="L574" s="24">
        <v>75000</v>
      </c>
      <c r="M574" s="3">
        <v>98000</v>
      </c>
      <c r="N574" s="28">
        <v>160</v>
      </c>
      <c r="P574" s="25" t="s">
        <v>618</v>
      </c>
    </row>
    <row r="575" spans="1:16" s="28" customFormat="1" x14ac:dyDescent="0.25">
      <c r="A575" s="28" t="s">
        <v>27</v>
      </c>
      <c r="B575" s="25" t="s">
        <v>36</v>
      </c>
      <c r="C575" s="25">
        <v>7500</v>
      </c>
      <c r="D575" s="30">
        <v>51</v>
      </c>
      <c r="E575" s="28">
        <f t="shared" si="39"/>
        <v>0.10500000000000001</v>
      </c>
      <c r="F575" s="28">
        <v>80</v>
      </c>
      <c r="G575" s="28">
        <v>25</v>
      </c>
      <c r="H575" s="28">
        <v>150</v>
      </c>
      <c r="I575" s="28">
        <f t="shared" si="37"/>
        <v>51</v>
      </c>
      <c r="J575" s="28">
        <f t="shared" si="38"/>
        <v>51</v>
      </c>
      <c r="K575" s="29">
        <f t="shared" si="41"/>
        <v>231</v>
      </c>
      <c r="L575" s="24">
        <v>75000</v>
      </c>
      <c r="M575" s="3">
        <v>98000</v>
      </c>
      <c r="N575" s="28">
        <v>160</v>
      </c>
      <c r="P575" s="25" t="s">
        <v>619</v>
      </c>
    </row>
    <row r="576" spans="1:16" s="28" customFormat="1" x14ac:dyDescent="0.25">
      <c r="A576" s="28" t="s">
        <v>27</v>
      </c>
      <c r="B576" s="25" t="s">
        <v>36</v>
      </c>
      <c r="C576" s="25">
        <v>7500</v>
      </c>
      <c r="D576" s="28">
        <v>52</v>
      </c>
      <c r="E576" s="28">
        <f t="shared" si="39"/>
        <v>0.10500000000000001</v>
      </c>
      <c r="F576" s="28">
        <v>80</v>
      </c>
      <c r="G576" s="28">
        <v>25</v>
      </c>
      <c r="H576" s="28">
        <v>150</v>
      </c>
      <c r="I576" s="28">
        <f t="shared" si="37"/>
        <v>52</v>
      </c>
      <c r="J576" s="28">
        <f t="shared" si="38"/>
        <v>52</v>
      </c>
      <c r="K576" s="29">
        <f t="shared" si="41"/>
        <v>232</v>
      </c>
      <c r="L576" s="24">
        <v>75000</v>
      </c>
      <c r="M576" s="3">
        <v>98000</v>
      </c>
      <c r="N576" s="28">
        <v>160</v>
      </c>
      <c r="P576" s="25" t="s">
        <v>620</v>
      </c>
    </row>
    <row r="577" spans="1:16" s="28" customFormat="1" x14ac:dyDescent="0.25">
      <c r="A577" s="28" t="s">
        <v>27</v>
      </c>
      <c r="B577" s="25" t="s">
        <v>36</v>
      </c>
      <c r="C577" s="25">
        <v>7500</v>
      </c>
      <c r="D577" s="30">
        <v>53</v>
      </c>
      <c r="E577" s="28">
        <f t="shared" si="39"/>
        <v>0.10500000000000001</v>
      </c>
      <c r="F577" s="28">
        <v>80</v>
      </c>
      <c r="G577" s="28">
        <v>25</v>
      </c>
      <c r="H577" s="28">
        <v>150</v>
      </c>
      <c r="I577" s="28">
        <f t="shared" si="37"/>
        <v>53</v>
      </c>
      <c r="J577" s="28">
        <f t="shared" si="38"/>
        <v>53</v>
      </c>
      <c r="K577" s="29">
        <f t="shared" si="41"/>
        <v>233</v>
      </c>
      <c r="L577" s="24">
        <v>75000</v>
      </c>
      <c r="M577" s="3">
        <v>98000</v>
      </c>
      <c r="N577" s="28">
        <v>160</v>
      </c>
      <c r="P577" s="25" t="s">
        <v>621</v>
      </c>
    </row>
    <row r="578" spans="1:16" s="28" customFormat="1" x14ac:dyDescent="0.25">
      <c r="A578" s="28" t="s">
        <v>27</v>
      </c>
      <c r="B578" s="25" t="s">
        <v>36</v>
      </c>
      <c r="C578" s="25">
        <v>7500</v>
      </c>
      <c r="D578" s="30">
        <v>54</v>
      </c>
      <c r="E578" s="28">
        <f t="shared" si="39"/>
        <v>0.10500000000000001</v>
      </c>
      <c r="F578" s="28">
        <v>80</v>
      </c>
      <c r="G578" s="28">
        <v>25</v>
      </c>
      <c r="H578" s="28">
        <v>150</v>
      </c>
      <c r="I578" s="28">
        <f t="shared" si="37"/>
        <v>54</v>
      </c>
      <c r="J578" s="28">
        <f t="shared" si="38"/>
        <v>54</v>
      </c>
      <c r="K578" s="29">
        <f t="shared" si="41"/>
        <v>234</v>
      </c>
      <c r="L578" s="24">
        <v>75000</v>
      </c>
      <c r="M578" s="3">
        <v>98000</v>
      </c>
      <c r="N578" s="28">
        <v>160</v>
      </c>
      <c r="P578" s="25" t="s">
        <v>622</v>
      </c>
    </row>
    <row r="579" spans="1:16" s="28" customFormat="1" x14ac:dyDescent="0.25">
      <c r="A579" s="28" t="s">
        <v>27</v>
      </c>
      <c r="B579" s="25" t="s">
        <v>36</v>
      </c>
      <c r="C579" s="25">
        <v>7500</v>
      </c>
      <c r="D579" s="28">
        <v>55</v>
      </c>
      <c r="E579" s="28">
        <f t="shared" si="39"/>
        <v>0.10500000000000001</v>
      </c>
      <c r="F579" s="28">
        <v>80</v>
      </c>
      <c r="G579" s="28">
        <v>25</v>
      </c>
      <c r="H579" s="28">
        <v>150</v>
      </c>
      <c r="I579" s="28">
        <f t="shared" si="37"/>
        <v>55</v>
      </c>
      <c r="J579" s="28">
        <f t="shared" si="38"/>
        <v>55</v>
      </c>
      <c r="K579" s="29">
        <f t="shared" si="41"/>
        <v>235</v>
      </c>
      <c r="L579" s="24">
        <v>75000</v>
      </c>
      <c r="M579" s="3">
        <v>98000</v>
      </c>
      <c r="N579" s="28">
        <v>160</v>
      </c>
      <c r="P579" s="25" t="s">
        <v>623</v>
      </c>
    </row>
    <row r="580" spans="1:16" s="28" customFormat="1" x14ac:dyDescent="0.25">
      <c r="A580" s="28" t="s">
        <v>27</v>
      </c>
      <c r="B580" s="25" t="s">
        <v>36</v>
      </c>
      <c r="C580" s="25">
        <v>7500</v>
      </c>
      <c r="D580" s="30">
        <v>56</v>
      </c>
      <c r="E580" s="28">
        <f t="shared" si="39"/>
        <v>0.10500000000000001</v>
      </c>
      <c r="F580" s="28">
        <v>80</v>
      </c>
      <c r="G580" s="28">
        <v>25</v>
      </c>
      <c r="H580" s="28">
        <v>150</v>
      </c>
      <c r="I580" s="28">
        <f t="shared" si="37"/>
        <v>56</v>
      </c>
      <c r="J580" s="28">
        <f t="shared" si="38"/>
        <v>56</v>
      </c>
      <c r="K580" s="29">
        <f t="shared" si="41"/>
        <v>236</v>
      </c>
      <c r="L580" s="24">
        <v>75000</v>
      </c>
      <c r="M580" s="3">
        <v>98000</v>
      </c>
      <c r="N580" s="28">
        <v>160</v>
      </c>
      <c r="P580" s="25" t="s">
        <v>624</v>
      </c>
    </row>
    <row r="581" spans="1:16" s="28" customFormat="1" x14ac:dyDescent="0.25">
      <c r="A581" s="28" t="s">
        <v>27</v>
      </c>
      <c r="B581" s="25" t="s">
        <v>36</v>
      </c>
      <c r="C581" s="25">
        <v>7500</v>
      </c>
      <c r="D581" s="30">
        <v>57</v>
      </c>
      <c r="E581" s="28">
        <f t="shared" si="39"/>
        <v>0.10500000000000001</v>
      </c>
      <c r="F581" s="28">
        <v>80</v>
      </c>
      <c r="G581" s="28">
        <v>25</v>
      </c>
      <c r="H581" s="28">
        <v>150</v>
      </c>
      <c r="I581" s="28">
        <f t="shared" si="37"/>
        <v>57</v>
      </c>
      <c r="J581" s="28">
        <f t="shared" si="38"/>
        <v>57</v>
      </c>
      <c r="K581" s="29">
        <f t="shared" si="41"/>
        <v>237</v>
      </c>
      <c r="L581" s="24">
        <v>75000</v>
      </c>
      <c r="M581" s="3">
        <v>98000</v>
      </c>
      <c r="N581" s="28">
        <v>160</v>
      </c>
      <c r="P581" s="25" t="s">
        <v>625</v>
      </c>
    </row>
    <row r="582" spans="1:16" s="28" customFormat="1" x14ac:dyDescent="0.25">
      <c r="A582" s="28" t="s">
        <v>27</v>
      </c>
      <c r="B582" s="25" t="s">
        <v>36</v>
      </c>
      <c r="C582" s="25">
        <v>7500</v>
      </c>
      <c r="D582" s="28">
        <v>58</v>
      </c>
      <c r="E582" s="28">
        <f t="shared" si="39"/>
        <v>0.10500000000000001</v>
      </c>
      <c r="F582" s="28">
        <v>80</v>
      </c>
      <c r="G582" s="28">
        <v>25</v>
      </c>
      <c r="H582" s="28">
        <v>150</v>
      </c>
      <c r="I582" s="28">
        <f t="shared" si="37"/>
        <v>58</v>
      </c>
      <c r="J582" s="28">
        <f t="shared" si="38"/>
        <v>58</v>
      </c>
      <c r="K582" s="29">
        <f t="shared" si="41"/>
        <v>238</v>
      </c>
      <c r="L582" s="24">
        <v>75000</v>
      </c>
      <c r="M582" s="3">
        <v>98000</v>
      </c>
      <c r="N582" s="28">
        <v>160</v>
      </c>
      <c r="P582" s="25" t="s">
        <v>626</v>
      </c>
    </row>
    <row r="583" spans="1:16" s="28" customFormat="1" x14ac:dyDescent="0.25">
      <c r="A583" s="28" t="s">
        <v>27</v>
      </c>
      <c r="B583" s="25" t="s">
        <v>36</v>
      </c>
      <c r="C583" s="25">
        <v>7500</v>
      </c>
      <c r="D583" s="30">
        <v>59</v>
      </c>
      <c r="E583" s="28">
        <f t="shared" si="39"/>
        <v>0.10500000000000001</v>
      </c>
      <c r="F583" s="28">
        <v>80</v>
      </c>
      <c r="G583" s="28">
        <v>25</v>
      </c>
      <c r="H583" s="28">
        <v>150</v>
      </c>
      <c r="I583" s="28">
        <f t="shared" si="37"/>
        <v>59</v>
      </c>
      <c r="J583" s="28">
        <f t="shared" si="38"/>
        <v>59</v>
      </c>
      <c r="K583" s="29">
        <f t="shared" si="41"/>
        <v>239</v>
      </c>
      <c r="L583" s="24">
        <v>75000</v>
      </c>
      <c r="M583" s="3">
        <v>98000</v>
      </c>
      <c r="N583" s="28">
        <v>160</v>
      </c>
      <c r="P583" s="25" t="s">
        <v>627</v>
      </c>
    </row>
    <row r="584" spans="1:16" s="28" customFormat="1" x14ac:dyDescent="0.25">
      <c r="A584" s="28" t="s">
        <v>27</v>
      </c>
      <c r="B584" s="25" t="s">
        <v>36</v>
      </c>
      <c r="C584" s="25">
        <v>7500</v>
      </c>
      <c r="D584" s="30">
        <v>60</v>
      </c>
      <c r="E584" s="28">
        <f t="shared" si="39"/>
        <v>0.10500000000000001</v>
      </c>
      <c r="F584" s="28">
        <v>80</v>
      </c>
      <c r="G584" s="28">
        <v>25</v>
      </c>
      <c r="H584" s="28">
        <v>150</v>
      </c>
      <c r="I584" s="28">
        <f t="shared" si="37"/>
        <v>60</v>
      </c>
      <c r="J584" s="28">
        <f t="shared" si="38"/>
        <v>60</v>
      </c>
      <c r="K584" s="29">
        <f t="shared" si="41"/>
        <v>240</v>
      </c>
      <c r="L584" s="24">
        <v>75000</v>
      </c>
      <c r="M584" s="3">
        <v>98000</v>
      </c>
      <c r="N584" s="28">
        <v>160</v>
      </c>
      <c r="P584" s="25" t="s">
        <v>628</v>
      </c>
    </row>
    <row r="585" spans="1:16" s="28" customFormat="1" x14ac:dyDescent="0.25">
      <c r="A585" s="28" t="s">
        <v>27</v>
      </c>
      <c r="B585" s="25" t="s">
        <v>36</v>
      </c>
      <c r="C585" s="25">
        <v>7500</v>
      </c>
      <c r="D585" s="28">
        <v>61</v>
      </c>
      <c r="E585" s="28">
        <f t="shared" si="39"/>
        <v>0.10500000000000001</v>
      </c>
      <c r="F585" s="28">
        <v>80</v>
      </c>
      <c r="G585" s="28">
        <v>25</v>
      </c>
      <c r="H585" s="28">
        <v>150</v>
      </c>
      <c r="I585" s="28">
        <f t="shared" si="37"/>
        <v>61</v>
      </c>
      <c r="J585" s="28">
        <f t="shared" si="38"/>
        <v>61</v>
      </c>
      <c r="K585" s="29">
        <f t="shared" si="41"/>
        <v>241</v>
      </c>
      <c r="L585" s="24">
        <v>75000</v>
      </c>
      <c r="M585" s="3">
        <v>98000</v>
      </c>
      <c r="N585" s="28">
        <v>160</v>
      </c>
      <c r="P585" s="25" t="s">
        <v>629</v>
      </c>
    </row>
    <row r="586" spans="1:16" s="28" customFormat="1" x14ac:dyDescent="0.25">
      <c r="A586" s="28" t="s">
        <v>27</v>
      </c>
      <c r="B586" s="25" t="s">
        <v>36</v>
      </c>
      <c r="C586" s="25">
        <v>7500</v>
      </c>
      <c r="D586" s="30">
        <v>62</v>
      </c>
      <c r="E586" s="28">
        <f t="shared" si="39"/>
        <v>0.10500000000000001</v>
      </c>
      <c r="F586" s="28">
        <v>80</v>
      </c>
      <c r="G586" s="28">
        <v>25</v>
      </c>
      <c r="H586" s="28">
        <v>150</v>
      </c>
      <c r="I586" s="28">
        <f t="shared" si="37"/>
        <v>62</v>
      </c>
      <c r="J586" s="28">
        <f t="shared" si="38"/>
        <v>62</v>
      </c>
      <c r="K586" s="29">
        <f t="shared" si="41"/>
        <v>242</v>
      </c>
      <c r="L586" s="24">
        <v>75000</v>
      </c>
      <c r="M586" s="3">
        <v>98000</v>
      </c>
      <c r="N586" s="28">
        <v>160</v>
      </c>
      <c r="P586" s="25" t="s">
        <v>630</v>
      </c>
    </row>
    <row r="587" spans="1:16" s="28" customFormat="1" x14ac:dyDescent="0.25">
      <c r="A587" s="28" t="s">
        <v>27</v>
      </c>
      <c r="B587" s="25" t="s">
        <v>36</v>
      </c>
      <c r="C587" s="25">
        <v>7500</v>
      </c>
      <c r="D587" s="30">
        <v>63</v>
      </c>
      <c r="E587" s="28">
        <f t="shared" si="39"/>
        <v>0.10500000000000001</v>
      </c>
      <c r="F587" s="28">
        <v>80</v>
      </c>
      <c r="G587" s="28">
        <v>25</v>
      </c>
      <c r="H587" s="28">
        <v>150</v>
      </c>
      <c r="I587" s="28">
        <f t="shared" si="37"/>
        <v>63</v>
      </c>
      <c r="J587" s="28">
        <f t="shared" si="38"/>
        <v>63</v>
      </c>
      <c r="K587" s="29">
        <f t="shared" si="41"/>
        <v>243</v>
      </c>
      <c r="L587" s="24">
        <v>75000</v>
      </c>
      <c r="M587" s="3">
        <v>98000</v>
      </c>
      <c r="N587" s="28">
        <v>160</v>
      </c>
      <c r="P587" s="25" t="s">
        <v>631</v>
      </c>
    </row>
    <row r="588" spans="1:16" s="28" customFormat="1" x14ac:dyDescent="0.25">
      <c r="A588" s="28" t="s">
        <v>27</v>
      </c>
      <c r="B588" s="25" t="s">
        <v>36</v>
      </c>
      <c r="C588" s="25">
        <v>7500</v>
      </c>
      <c r="D588" s="28">
        <v>64</v>
      </c>
      <c r="E588" s="28">
        <f t="shared" si="39"/>
        <v>0.10500000000000001</v>
      </c>
      <c r="F588" s="28">
        <v>80</v>
      </c>
      <c r="G588" s="28">
        <v>25</v>
      </c>
      <c r="H588" s="28">
        <v>150</v>
      </c>
      <c r="I588" s="28">
        <f t="shared" si="37"/>
        <v>64</v>
      </c>
      <c r="J588" s="28">
        <f t="shared" si="38"/>
        <v>64</v>
      </c>
      <c r="K588" s="29">
        <f t="shared" si="41"/>
        <v>244</v>
      </c>
      <c r="L588" s="24">
        <v>75000</v>
      </c>
      <c r="M588" s="3">
        <v>98000</v>
      </c>
      <c r="N588" s="28">
        <v>160</v>
      </c>
      <c r="P588" s="25" t="s">
        <v>632</v>
      </c>
    </row>
    <row r="589" spans="1:16" s="28" customFormat="1" x14ac:dyDescent="0.25">
      <c r="A589" s="28" t="s">
        <v>27</v>
      </c>
      <c r="B589" s="25" t="s">
        <v>36</v>
      </c>
      <c r="C589" s="25">
        <v>7500</v>
      </c>
      <c r="D589" s="30">
        <v>65</v>
      </c>
      <c r="E589" s="28">
        <f t="shared" si="39"/>
        <v>0.10500000000000001</v>
      </c>
      <c r="F589" s="28">
        <v>80</v>
      </c>
      <c r="G589" s="28">
        <v>25</v>
      </c>
      <c r="H589" s="28">
        <v>150</v>
      </c>
      <c r="I589" s="28">
        <f t="shared" si="37"/>
        <v>65</v>
      </c>
      <c r="J589" s="28">
        <f t="shared" si="38"/>
        <v>65</v>
      </c>
      <c r="K589" s="29">
        <f t="shared" si="41"/>
        <v>245</v>
      </c>
      <c r="L589" s="24">
        <v>75000</v>
      </c>
      <c r="M589" s="3">
        <v>98000</v>
      </c>
      <c r="N589" s="28">
        <v>160</v>
      </c>
      <c r="P589" s="25" t="s">
        <v>633</v>
      </c>
    </row>
    <row r="590" spans="1:16" s="28" customFormat="1" x14ac:dyDescent="0.25">
      <c r="A590" s="28" t="s">
        <v>27</v>
      </c>
      <c r="B590" s="25" t="s">
        <v>36</v>
      </c>
      <c r="C590" s="25">
        <v>7500</v>
      </c>
      <c r="D590" s="30">
        <v>66</v>
      </c>
      <c r="E590" s="28">
        <f t="shared" si="39"/>
        <v>0.10500000000000001</v>
      </c>
      <c r="F590" s="28">
        <v>80</v>
      </c>
      <c r="G590" s="28">
        <v>25</v>
      </c>
      <c r="H590" s="28">
        <v>150</v>
      </c>
      <c r="I590" s="28">
        <f t="shared" si="37"/>
        <v>66</v>
      </c>
      <c r="J590" s="28">
        <f t="shared" si="38"/>
        <v>66</v>
      </c>
      <c r="K590" s="29">
        <f t="shared" si="41"/>
        <v>246</v>
      </c>
      <c r="L590" s="24">
        <v>75000</v>
      </c>
      <c r="M590" s="3">
        <v>98000</v>
      </c>
      <c r="N590" s="28">
        <v>160</v>
      </c>
      <c r="P590" s="25" t="s">
        <v>634</v>
      </c>
    </row>
    <row r="591" spans="1:16" s="28" customFormat="1" x14ac:dyDescent="0.25">
      <c r="A591" s="28" t="s">
        <v>27</v>
      </c>
      <c r="B591" s="25" t="s">
        <v>36</v>
      </c>
      <c r="C591" s="25">
        <v>7500</v>
      </c>
      <c r="D591" s="28">
        <v>67</v>
      </c>
      <c r="E591" s="28">
        <f t="shared" si="39"/>
        <v>0.10500000000000001</v>
      </c>
      <c r="F591" s="28">
        <v>80</v>
      </c>
      <c r="G591" s="28">
        <v>25</v>
      </c>
      <c r="H591" s="28">
        <v>150</v>
      </c>
      <c r="I591" s="28">
        <f t="shared" si="37"/>
        <v>67</v>
      </c>
      <c r="J591" s="28">
        <f t="shared" si="38"/>
        <v>67</v>
      </c>
      <c r="K591" s="29">
        <f t="shared" si="41"/>
        <v>247</v>
      </c>
      <c r="L591" s="24">
        <v>75000</v>
      </c>
      <c r="M591" s="3">
        <v>98000</v>
      </c>
      <c r="N591" s="28">
        <v>160</v>
      </c>
      <c r="P591" s="25" t="s">
        <v>635</v>
      </c>
    </row>
    <row r="592" spans="1:16" s="28" customFormat="1" x14ac:dyDescent="0.25">
      <c r="A592" s="28" t="s">
        <v>27</v>
      </c>
      <c r="B592" s="25" t="s">
        <v>36</v>
      </c>
      <c r="C592" s="25">
        <v>7500</v>
      </c>
      <c r="D592" s="30">
        <v>68</v>
      </c>
      <c r="E592" s="28">
        <f t="shared" si="39"/>
        <v>0.10500000000000001</v>
      </c>
      <c r="F592" s="28">
        <v>80</v>
      </c>
      <c r="G592" s="28">
        <v>25</v>
      </c>
      <c r="H592" s="28">
        <v>150</v>
      </c>
      <c r="I592" s="28">
        <f t="shared" si="37"/>
        <v>68</v>
      </c>
      <c r="J592" s="28">
        <f t="shared" si="38"/>
        <v>68</v>
      </c>
      <c r="K592" s="29">
        <f t="shared" si="41"/>
        <v>248</v>
      </c>
      <c r="L592" s="24">
        <v>75000</v>
      </c>
      <c r="M592" s="3">
        <v>98000</v>
      </c>
      <c r="N592" s="28">
        <v>160</v>
      </c>
      <c r="P592" s="25" t="s">
        <v>636</v>
      </c>
    </row>
    <row r="593" spans="1:16" s="28" customFormat="1" x14ac:dyDescent="0.25">
      <c r="A593" s="28" t="s">
        <v>27</v>
      </c>
      <c r="B593" s="25" t="s">
        <v>36</v>
      </c>
      <c r="C593" s="25">
        <v>7500</v>
      </c>
      <c r="D593" s="30">
        <v>69</v>
      </c>
      <c r="E593" s="28">
        <f t="shared" si="39"/>
        <v>0.10500000000000001</v>
      </c>
      <c r="F593" s="28">
        <v>80</v>
      </c>
      <c r="G593" s="28">
        <v>25</v>
      </c>
      <c r="H593" s="28">
        <v>150</v>
      </c>
      <c r="I593" s="28">
        <f t="shared" si="37"/>
        <v>69</v>
      </c>
      <c r="J593" s="28">
        <f t="shared" si="38"/>
        <v>69</v>
      </c>
      <c r="K593" s="29">
        <f t="shared" si="41"/>
        <v>249</v>
      </c>
      <c r="L593" s="24">
        <v>75000</v>
      </c>
      <c r="M593" s="3">
        <v>98000</v>
      </c>
      <c r="N593" s="28">
        <v>160</v>
      </c>
      <c r="P593" s="25" t="s">
        <v>637</v>
      </c>
    </row>
    <row r="594" spans="1:16" s="28" customFormat="1" x14ac:dyDescent="0.25">
      <c r="A594" s="28" t="s">
        <v>27</v>
      </c>
      <c r="B594" s="25" t="s">
        <v>36</v>
      </c>
      <c r="C594" s="25">
        <v>7500</v>
      </c>
      <c r="D594" s="28">
        <v>70</v>
      </c>
      <c r="E594" s="28">
        <f t="shared" si="39"/>
        <v>0.10500000000000001</v>
      </c>
      <c r="F594" s="28">
        <v>80</v>
      </c>
      <c r="G594" s="28">
        <v>25</v>
      </c>
      <c r="H594" s="28">
        <v>150</v>
      </c>
      <c r="I594" s="28">
        <f t="shared" ref="I594:I657" si="42">D594</f>
        <v>70</v>
      </c>
      <c r="J594" s="28">
        <f t="shared" ref="J594:J657" si="43">D594</f>
        <v>70</v>
      </c>
      <c r="K594" s="29">
        <f t="shared" si="41"/>
        <v>250</v>
      </c>
      <c r="L594" s="24">
        <v>75000</v>
      </c>
      <c r="M594" s="3">
        <v>98000</v>
      </c>
      <c r="N594" s="28">
        <v>160</v>
      </c>
      <c r="P594" s="25" t="s">
        <v>638</v>
      </c>
    </row>
    <row r="595" spans="1:16" s="28" customFormat="1" x14ac:dyDescent="0.25">
      <c r="A595" s="28" t="s">
        <v>27</v>
      </c>
      <c r="B595" s="25" t="s">
        <v>36</v>
      </c>
      <c r="C595" s="25">
        <v>7500</v>
      </c>
      <c r="D595" s="30">
        <v>71</v>
      </c>
      <c r="E595" s="28">
        <f t="shared" si="39"/>
        <v>0.10500000000000001</v>
      </c>
      <c r="F595" s="28">
        <v>80</v>
      </c>
      <c r="G595" s="28">
        <v>25</v>
      </c>
      <c r="H595" s="28">
        <v>150</v>
      </c>
      <c r="I595" s="28">
        <f t="shared" si="42"/>
        <v>71</v>
      </c>
      <c r="J595" s="28">
        <f t="shared" si="43"/>
        <v>71</v>
      </c>
      <c r="K595" s="29">
        <f t="shared" si="41"/>
        <v>251</v>
      </c>
      <c r="L595" s="24">
        <v>75000</v>
      </c>
      <c r="M595" s="3">
        <v>98000</v>
      </c>
      <c r="N595" s="28">
        <v>160</v>
      </c>
      <c r="P595" s="25" t="s">
        <v>639</v>
      </c>
    </row>
    <row r="596" spans="1:16" s="28" customFormat="1" x14ac:dyDescent="0.25">
      <c r="A596" s="28" t="s">
        <v>27</v>
      </c>
      <c r="B596" s="25" t="s">
        <v>36</v>
      </c>
      <c r="C596" s="25">
        <v>7500</v>
      </c>
      <c r="D596" s="30">
        <v>72</v>
      </c>
      <c r="E596" s="28">
        <f t="shared" si="39"/>
        <v>0.10500000000000001</v>
      </c>
      <c r="F596" s="28">
        <v>80</v>
      </c>
      <c r="G596" s="28">
        <v>25</v>
      </c>
      <c r="H596" s="28">
        <v>150</v>
      </c>
      <c r="I596" s="28">
        <f t="shared" si="42"/>
        <v>72</v>
      </c>
      <c r="J596" s="28">
        <f t="shared" si="43"/>
        <v>72</v>
      </c>
      <c r="K596" s="29">
        <f t="shared" si="41"/>
        <v>252</v>
      </c>
      <c r="L596" s="24">
        <v>75000</v>
      </c>
      <c r="M596" s="3">
        <v>98000</v>
      </c>
      <c r="N596" s="28">
        <v>160</v>
      </c>
      <c r="P596" s="25" t="s">
        <v>640</v>
      </c>
    </row>
    <row r="597" spans="1:16" s="28" customFormat="1" x14ac:dyDescent="0.25">
      <c r="A597" s="28" t="s">
        <v>27</v>
      </c>
      <c r="B597" s="25" t="s">
        <v>36</v>
      </c>
      <c r="C597" s="25">
        <v>7500</v>
      </c>
      <c r="D597" s="28">
        <v>73</v>
      </c>
      <c r="E597" s="28">
        <f t="shared" si="39"/>
        <v>0.10500000000000001</v>
      </c>
      <c r="F597" s="28">
        <v>80</v>
      </c>
      <c r="G597" s="28">
        <v>25</v>
      </c>
      <c r="H597" s="28">
        <v>150</v>
      </c>
      <c r="I597" s="28">
        <f t="shared" si="42"/>
        <v>73</v>
      </c>
      <c r="J597" s="28">
        <f t="shared" si="43"/>
        <v>73</v>
      </c>
      <c r="K597" s="29">
        <f t="shared" si="41"/>
        <v>253</v>
      </c>
      <c r="L597" s="24">
        <v>75000</v>
      </c>
      <c r="M597" s="3">
        <v>98000</v>
      </c>
      <c r="N597" s="28">
        <v>160</v>
      </c>
      <c r="P597" s="25" t="s">
        <v>641</v>
      </c>
    </row>
    <row r="598" spans="1:16" s="28" customFormat="1" x14ac:dyDescent="0.25">
      <c r="A598" s="28" t="s">
        <v>27</v>
      </c>
      <c r="B598" s="25" t="s">
        <v>36</v>
      </c>
      <c r="C598" s="25">
        <v>7500</v>
      </c>
      <c r="D598" s="30">
        <v>74</v>
      </c>
      <c r="E598" s="28">
        <f t="shared" ref="E598:E661" si="44">AVERAGE(0.13,0.08)</f>
        <v>0.10500000000000001</v>
      </c>
      <c r="F598" s="28">
        <v>80</v>
      </c>
      <c r="G598" s="28">
        <v>25</v>
      </c>
      <c r="H598" s="28">
        <v>150</v>
      </c>
      <c r="I598" s="28">
        <f t="shared" si="42"/>
        <v>74</v>
      </c>
      <c r="J598" s="28">
        <f t="shared" si="43"/>
        <v>74</v>
      </c>
      <c r="K598" s="29">
        <f t="shared" si="41"/>
        <v>254</v>
      </c>
      <c r="L598" s="24">
        <v>75000</v>
      </c>
      <c r="M598" s="3">
        <v>98000</v>
      </c>
      <c r="N598" s="28">
        <v>160</v>
      </c>
      <c r="P598" s="25" t="s">
        <v>642</v>
      </c>
    </row>
    <row r="599" spans="1:16" s="28" customFormat="1" x14ac:dyDescent="0.25">
      <c r="A599" s="28" t="s">
        <v>27</v>
      </c>
      <c r="B599" s="25" t="s">
        <v>36</v>
      </c>
      <c r="C599" s="25">
        <v>7500</v>
      </c>
      <c r="D599" s="30">
        <v>75</v>
      </c>
      <c r="E599" s="28">
        <f t="shared" si="44"/>
        <v>0.10500000000000001</v>
      </c>
      <c r="F599" s="28">
        <v>80</v>
      </c>
      <c r="G599" s="28">
        <v>25</v>
      </c>
      <c r="H599" s="28">
        <v>150</v>
      </c>
      <c r="I599" s="28">
        <f t="shared" si="42"/>
        <v>75</v>
      </c>
      <c r="J599" s="28">
        <f t="shared" si="43"/>
        <v>75</v>
      </c>
      <c r="K599" s="29">
        <f t="shared" ref="K599:K662" si="45">180+D599</f>
        <v>255</v>
      </c>
      <c r="L599" s="24">
        <v>75000</v>
      </c>
      <c r="M599" s="3">
        <v>98000</v>
      </c>
      <c r="N599" s="28">
        <v>160</v>
      </c>
      <c r="P599" s="25" t="s">
        <v>643</v>
      </c>
    </row>
    <row r="600" spans="1:16" s="28" customFormat="1" x14ac:dyDescent="0.25">
      <c r="A600" s="28" t="s">
        <v>27</v>
      </c>
      <c r="B600" s="25" t="s">
        <v>36</v>
      </c>
      <c r="C600" s="25">
        <v>7500</v>
      </c>
      <c r="D600" s="28">
        <v>76</v>
      </c>
      <c r="E600" s="28">
        <f t="shared" si="44"/>
        <v>0.10500000000000001</v>
      </c>
      <c r="F600" s="28">
        <v>80</v>
      </c>
      <c r="G600" s="28">
        <v>25</v>
      </c>
      <c r="H600" s="28">
        <v>150</v>
      </c>
      <c r="I600" s="28">
        <f t="shared" si="42"/>
        <v>76</v>
      </c>
      <c r="J600" s="28">
        <f t="shared" si="43"/>
        <v>76</v>
      </c>
      <c r="K600" s="29">
        <f t="shared" si="45"/>
        <v>256</v>
      </c>
      <c r="L600" s="24">
        <v>75000</v>
      </c>
      <c r="M600" s="3">
        <v>98000</v>
      </c>
      <c r="N600" s="28">
        <v>160</v>
      </c>
      <c r="P600" s="25" t="s">
        <v>644</v>
      </c>
    </row>
    <row r="601" spans="1:16" s="28" customFormat="1" x14ac:dyDescent="0.25">
      <c r="A601" s="28" t="s">
        <v>27</v>
      </c>
      <c r="B601" s="25" t="s">
        <v>36</v>
      </c>
      <c r="C601" s="25">
        <v>7500</v>
      </c>
      <c r="D601" s="30">
        <v>77</v>
      </c>
      <c r="E601" s="28">
        <f t="shared" si="44"/>
        <v>0.10500000000000001</v>
      </c>
      <c r="F601" s="28">
        <v>80</v>
      </c>
      <c r="G601" s="28">
        <v>25</v>
      </c>
      <c r="H601" s="28">
        <v>150</v>
      </c>
      <c r="I601" s="28">
        <f t="shared" si="42"/>
        <v>77</v>
      </c>
      <c r="J601" s="28">
        <f t="shared" si="43"/>
        <v>77</v>
      </c>
      <c r="K601" s="29">
        <f t="shared" si="45"/>
        <v>257</v>
      </c>
      <c r="L601" s="24">
        <v>75000</v>
      </c>
      <c r="M601" s="3">
        <v>98000</v>
      </c>
      <c r="N601" s="28">
        <v>160</v>
      </c>
      <c r="P601" s="25" t="s">
        <v>645</v>
      </c>
    </row>
    <row r="602" spans="1:16" s="28" customFormat="1" x14ac:dyDescent="0.25">
      <c r="A602" s="28" t="s">
        <v>27</v>
      </c>
      <c r="B602" s="25" t="s">
        <v>36</v>
      </c>
      <c r="C602" s="25">
        <v>7500</v>
      </c>
      <c r="D602" s="30">
        <v>78</v>
      </c>
      <c r="E602" s="28">
        <f t="shared" si="44"/>
        <v>0.10500000000000001</v>
      </c>
      <c r="F602" s="28">
        <v>80</v>
      </c>
      <c r="G602" s="28">
        <v>25</v>
      </c>
      <c r="H602" s="28">
        <v>150</v>
      </c>
      <c r="I602" s="28">
        <f t="shared" si="42"/>
        <v>78</v>
      </c>
      <c r="J602" s="28">
        <f t="shared" si="43"/>
        <v>78</v>
      </c>
      <c r="K602" s="29">
        <f t="shared" si="45"/>
        <v>258</v>
      </c>
      <c r="L602" s="24">
        <v>75000</v>
      </c>
      <c r="M602" s="3">
        <v>98000</v>
      </c>
      <c r="N602" s="28">
        <v>160</v>
      </c>
      <c r="P602" s="25" t="s">
        <v>646</v>
      </c>
    </row>
    <row r="603" spans="1:16" s="28" customFormat="1" x14ac:dyDescent="0.25">
      <c r="A603" s="28" t="s">
        <v>27</v>
      </c>
      <c r="B603" s="25" t="s">
        <v>36</v>
      </c>
      <c r="C603" s="25">
        <v>7500</v>
      </c>
      <c r="D603" s="28">
        <v>79</v>
      </c>
      <c r="E603" s="28">
        <f t="shared" si="44"/>
        <v>0.10500000000000001</v>
      </c>
      <c r="F603" s="28">
        <v>80</v>
      </c>
      <c r="G603" s="28">
        <v>25</v>
      </c>
      <c r="H603" s="28">
        <v>150</v>
      </c>
      <c r="I603" s="28">
        <f t="shared" si="42"/>
        <v>79</v>
      </c>
      <c r="J603" s="28">
        <f t="shared" si="43"/>
        <v>79</v>
      </c>
      <c r="K603" s="29">
        <f t="shared" si="45"/>
        <v>259</v>
      </c>
      <c r="L603" s="24">
        <v>75000</v>
      </c>
      <c r="M603" s="3">
        <v>98000</v>
      </c>
      <c r="N603" s="28">
        <v>160</v>
      </c>
      <c r="P603" s="25" t="s">
        <v>647</v>
      </c>
    </row>
    <row r="604" spans="1:16" s="28" customFormat="1" x14ac:dyDescent="0.25">
      <c r="A604" s="28" t="s">
        <v>27</v>
      </c>
      <c r="B604" s="25" t="s">
        <v>36</v>
      </c>
      <c r="C604" s="25">
        <v>7500</v>
      </c>
      <c r="D604" s="30">
        <v>80</v>
      </c>
      <c r="E604" s="28">
        <f t="shared" si="44"/>
        <v>0.10500000000000001</v>
      </c>
      <c r="F604" s="28">
        <v>80</v>
      </c>
      <c r="G604" s="28">
        <v>25</v>
      </c>
      <c r="H604" s="28">
        <v>150</v>
      </c>
      <c r="I604" s="28">
        <f t="shared" si="42"/>
        <v>80</v>
      </c>
      <c r="J604" s="28">
        <f t="shared" si="43"/>
        <v>80</v>
      </c>
      <c r="K604" s="29">
        <f t="shared" si="45"/>
        <v>260</v>
      </c>
      <c r="L604" s="24">
        <v>75000</v>
      </c>
      <c r="M604" s="3">
        <v>98000</v>
      </c>
      <c r="N604" s="28">
        <v>160</v>
      </c>
      <c r="P604" s="25" t="s">
        <v>648</v>
      </c>
    </row>
    <row r="605" spans="1:16" s="28" customFormat="1" x14ac:dyDescent="0.25">
      <c r="A605" s="28" t="s">
        <v>27</v>
      </c>
      <c r="B605" s="25" t="s">
        <v>36</v>
      </c>
      <c r="C605" s="25">
        <v>7500</v>
      </c>
      <c r="D605" s="30">
        <v>81</v>
      </c>
      <c r="E605" s="28">
        <f t="shared" si="44"/>
        <v>0.10500000000000001</v>
      </c>
      <c r="F605" s="28">
        <v>80</v>
      </c>
      <c r="G605" s="28">
        <v>25</v>
      </c>
      <c r="H605" s="28">
        <v>150</v>
      </c>
      <c r="I605" s="28">
        <f t="shared" si="42"/>
        <v>81</v>
      </c>
      <c r="J605" s="28">
        <f t="shared" si="43"/>
        <v>81</v>
      </c>
      <c r="K605" s="29">
        <f t="shared" si="45"/>
        <v>261</v>
      </c>
      <c r="L605" s="24">
        <v>75000</v>
      </c>
      <c r="M605" s="3">
        <v>98000</v>
      </c>
      <c r="N605" s="28">
        <v>160</v>
      </c>
      <c r="P605" s="25" t="s">
        <v>649</v>
      </c>
    </row>
    <row r="606" spans="1:16" s="28" customFormat="1" x14ac:dyDescent="0.25">
      <c r="A606" s="28" t="s">
        <v>27</v>
      </c>
      <c r="B606" s="25" t="s">
        <v>36</v>
      </c>
      <c r="C606" s="25">
        <v>7500</v>
      </c>
      <c r="D606" s="28">
        <v>82</v>
      </c>
      <c r="E606" s="28">
        <f t="shared" si="44"/>
        <v>0.10500000000000001</v>
      </c>
      <c r="F606" s="28">
        <v>80</v>
      </c>
      <c r="G606" s="28">
        <v>25</v>
      </c>
      <c r="H606" s="28">
        <v>150</v>
      </c>
      <c r="I606" s="28">
        <f t="shared" si="42"/>
        <v>82</v>
      </c>
      <c r="J606" s="28">
        <f t="shared" si="43"/>
        <v>82</v>
      </c>
      <c r="K606" s="29">
        <f t="shared" si="45"/>
        <v>262</v>
      </c>
      <c r="L606" s="24">
        <v>75000</v>
      </c>
      <c r="M606" s="3">
        <v>98000</v>
      </c>
      <c r="N606" s="28">
        <v>160</v>
      </c>
      <c r="P606" s="25" t="s">
        <v>650</v>
      </c>
    </row>
    <row r="607" spans="1:16" s="28" customFormat="1" x14ac:dyDescent="0.25">
      <c r="A607" s="28" t="s">
        <v>27</v>
      </c>
      <c r="B607" s="25" t="s">
        <v>36</v>
      </c>
      <c r="C607" s="25">
        <v>7500</v>
      </c>
      <c r="D607" s="30">
        <v>83</v>
      </c>
      <c r="E607" s="28">
        <f t="shared" si="44"/>
        <v>0.10500000000000001</v>
      </c>
      <c r="F607" s="28">
        <v>80</v>
      </c>
      <c r="G607" s="28">
        <v>25</v>
      </c>
      <c r="H607" s="28">
        <v>150</v>
      </c>
      <c r="I607" s="28">
        <f t="shared" si="42"/>
        <v>83</v>
      </c>
      <c r="J607" s="28">
        <f t="shared" si="43"/>
        <v>83</v>
      </c>
      <c r="K607" s="29">
        <f t="shared" si="45"/>
        <v>263</v>
      </c>
      <c r="L607" s="24">
        <v>75000</v>
      </c>
      <c r="M607" s="3">
        <v>98000</v>
      </c>
      <c r="N607" s="28">
        <v>160</v>
      </c>
      <c r="P607" s="25" t="s">
        <v>651</v>
      </c>
    </row>
    <row r="608" spans="1:16" s="28" customFormat="1" x14ac:dyDescent="0.25">
      <c r="A608" s="28" t="s">
        <v>27</v>
      </c>
      <c r="B608" s="25" t="s">
        <v>36</v>
      </c>
      <c r="C608" s="25">
        <v>7500</v>
      </c>
      <c r="D608" s="30">
        <v>84</v>
      </c>
      <c r="E608" s="28">
        <f t="shared" si="44"/>
        <v>0.10500000000000001</v>
      </c>
      <c r="F608" s="28">
        <v>80</v>
      </c>
      <c r="G608" s="28">
        <v>25</v>
      </c>
      <c r="H608" s="28">
        <v>150</v>
      </c>
      <c r="I608" s="28">
        <f t="shared" si="42"/>
        <v>84</v>
      </c>
      <c r="J608" s="28">
        <f t="shared" si="43"/>
        <v>84</v>
      </c>
      <c r="K608" s="29">
        <f t="shared" si="45"/>
        <v>264</v>
      </c>
      <c r="L608" s="24">
        <v>75000</v>
      </c>
      <c r="M608" s="3">
        <v>98000</v>
      </c>
      <c r="N608" s="28">
        <v>160</v>
      </c>
      <c r="P608" s="25" t="s">
        <v>652</v>
      </c>
    </row>
    <row r="609" spans="1:16" s="28" customFormat="1" x14ac:dyDescent="0.25">
      <c r="A609" s="28" t="s">
        <v>27</v>
      </c>
      <c r="B609" s="25" t="s">
        <v>36</v>
      </c>
      <c r="C609" s="25">
        <v>7500</v>
      </c>
      <c r="D609" s="28">
        <v>85</v>
      </c>
      <c r="E609" s="28">
        <f t="shared" si="44"/>
        <v>0.10500000000000001</v>
      </c>
      <c r="F609" s="28">
        <v>80</v>
      </c>
      <c r="G609" s="28">
        <v>25</v>
      </c>
      <c r="H609" s="28">
        <v>150</v>
      </c>
      <c r="I609" s="28">
        <f t="shared" si="42"/>
        <v>85</v>
      </c>
      <c r="J609" s="28">
        <f t="shared" si="43"/>
        <v>85</v>
      </c>
      <c r="K609" s="29">
        <f t="shared" si="45"/>
        <v>265</v>
      </c>
      <c r="L609" s="24">
        <v>75000</v>
      </c>
      <c r="M609" s="3">
        <v>98000</v>
      </c>
      <c r="N609" s="28">
        <v>160</v>
      </c>
      <c r="P609" s="25" t="s">
        <v>653</v>
      </c>
    </row>
    <row r="610" spans="1:16" s="28" customFormat="1" x14ac:dyDescent="0.25">
      <c r="A610" s="28" t="s">
        <v>27</v>
      </c>
      <c r="B610" s="25" t="s">
        <v>36</v>
      </c>
      <c r="C610" s="25">
        <v>7500</v>
      </c>
      <c r="D610" s="30">
        <v>86</v>
      </c>
      <c r="E610" s="28">
        <f t="shared" si="44"/>
        <v>0.10500000000000001</v>
      </c>
      <c r="F610" s="28">
        <v>80</v>
      </c>
      <c r="G610" s="28">
        <v>25</v>
      </c>
      <c r="H610" s="28">
        <v>150</v>
      </c>
      <c r="I610" s="28">
        <f t="shared" si="42"/>
        <v>86</v>
      </c>
      <c r="J610" s="28">
        <f t="shared" si="43"/>
        <v>86</v>
      </c>
      <c r="K610" s="29">
        <f t="shared" si="45"/>
        <v>266</v>
      </c>
      <c r="L610" s="24">
        <v>75000</v>
      </c>
      <c r="M610" s="3">
        <v>98000</v>
      </c>
      <c r="N610" s="28">
        <v>160</v>
      </c>
      <c r="P610" s="25" t="s">
        <v>654</v>
      </c>
    </row>
    <row r="611" spans="1:16" s="28" customFormat="1" x14ac:dyDescent="0.25">
      <c r="A611" s="28" t="s">
        <v>27</v>
      </c>
      <c r="B611" s="25" t="s">
        <v>36</v>
      </c>
      <c r="C611" s="25">
        <v>7500</v>
      </c>
      <c r="D611" s="30">
        <v>87</v>
      </c>
      <c r="E611" s="28">
        <f t="shared" si="44"/>
        <v>0.10500000000000001</v>
      </c>
      <c r="F611" s="28">
        <v>80</v>
      </c>
      <c r="G611" s="28">
        <v>25</v>
      </c>
      <c r="H611" s="28">
        <v>150</v>
      </c>
      <c r="I611" s="28">
        <f t="shared" si="42"/>
        <v>87</v>
      </c>
      <c r="J611" s="28">
        <f t="shared" si="43"/>
        <v>87</v>
      </c>
      <c r="K611" s="29">
        <f t="shared" si="45"/>
        <v>267</v>
      </c>
      <c r="L611" s="24">
        <v>75000</v>
      </c>
      <c r="M611" s="3">
        <v>98000</v>
      </c>
      <c r="N611" s="28">
        <v>160</v>
      </c>
      <c r="P611" s="25" t="s">
        <v>655</v>
      </c>
    </row>
    <row r="612" spans="1:16" s="28" customFormat="1" x14ac:dyDescent="0.25">
      <c r="A612" s="28" t="s">
        <v>27</v>
      </c>
      <c r="B612" s="25" t="s">
        <v>36</v>
      </c>
      <c r="C612" s="25">
        <v>7500</v>
      </c>
      <c r="D612" s="28">
        <v>88</v>
      </c>
      <c r="E612" s="28">
        <f t="shared" si="44"/>
        <v>0.10500000000000001</v>
      </c>
      <c r="F612" s="28">
        <v>80</v>
      </c>
      <c r="G612" s="28">
        <v>25</v>
      </c>
      <c r="H612" s="28">
        <v>150</v>
      </c>
      <c r="I612" s="28">
        <f t="shared" si="42"/>
        <v>88</v>
      </c>
      <c r="J612" s="28">
        <f t="shared" si="43"/>
        <v>88</v>
      </c>
      <c r="K612" s="29">
        <f t="shared" si="45"/>
        <v>268</v>
      </c>
      <c r="L612" s="24">
        <v>75000</v>
      </c>
      <c r="M612" s="3">
        <v>98000</v>
      </c>
      <c r="N612" s="28">
        <v>160</v>
      </c>
      <c r="P612" s="25" t="s">
        <v>656</v>
      </c>
    </row>
    <row r="613" spans="1:16" s="28" customFormat="1" x14ac:dyDescent="0.25">
      <c r="A613" s="28" t="s">
        <v>27</v>
      </c>
      <c r="B613" s="25" t="s">
        <v>36</v>
      </c>
      <c r="C613" s="25">
        <v>7500</v>
      </c>
      <c r="D613" s="30">
        <v>89</v>
      </c>
      <c r="E613" s="28">
        <f t="shared" si="44"/>
        <v>0.10500000000000001</v>
      </c>
      <c r="F613" s="28">
        <v>80</v>
      </c>
      <c r="G613" s="28">
        <v>25</v>
      </c>
      <c r="H613" s="28">
        <v>150</v>
      </c>
      <c r="I613" s="28">
        <f t="shared" si="42"/>
        <v>89</v>
      </c>
      <c r="J613" s="28">
        <f t="shared" si="43"/>
        <v>89</v>
      </c>
      <c r="K613" s="29">
        <f t="shared" si="45"/>
        <v>269</v>
      </c>
      <c r="L613" s="24">
        <v>75000</v>
      </c>
      <c r="M613" s="3">
        <v>98000</v>
      </c>
      <c r="N613" s="28">
        <v>160</v>
      </c>
      <c r="P613" s="25" t="s">
        <v>657</v>
      </c>
    </row>
    <row r="614" spans="1:16" s="28" customFormat="1" x14ac:dyDescent="0.25">
      <c r="A614" s="28" t="s">
        <v>27</v>
      </c>
      <c r="B614" s="25" t="s">
        <v>36</v>
      </c>
      <c r="C614" s="25">
        <v>7500</v>
      </c>
      <c r="D614" s="30">
        <v>90</v>
      </c>
      <c r="E614" s="28">
        <f t="shared" si="44"/>
        <v>0.10500000000000001</v>
      </c>
      <c r="F614" s="28">
        <v>80</v>
      </c>
      <c r="G614" s="28">
        <v>25</v>
      </c>
      <c r="H614" s="28">
        <v>150</v>
      </c>
      <c r="I614" s="28">
        <f t="shared" si="42"/>
        <v>90</v>
      </c>
      <c r="J614" s="28">
        <f t="shared" si="43"/>
        <v>90</v>
      </c>
      <c r="K614" s="29">
        <f t="shared" si="45"/>
        <v>270</v>
      </c>
      <c r="L614" s="24">
        <v>75000</v>
      </c>
      <c r="M614" s="3">
        <v>98000</v>
      </c>
      <c r="N614" s="28">
        <v>160</v>
      </c>
      <c r="P614" s="25" t="s">
        <v>658</v>
      </c>
    </row>
    <row r="615" spans="1:16" s="28" customFormat="1" x14ac:dyDescent="0.25">
      <c r="A615" s="28" t="s">
        <v>27</v>
      </c>
      <c r="B615" s="25" t="s">
        <v>36</v>
      </c>
      <c r="C615" s="25">
        <v>7500</v>
      </c>
      <c r="D615" s="28">
        <v>91</v>
      </c>
      <c r="E615" s="28">
        <f t="shared" si="44"/>
        <v>0.10500000000000001</v>
      </c>
      <c r="F615" s="28">
        <v>80</v>
      </c>
      <c r="G615" s="28">
        <v>25</v>
      </c>
      <c r="H615" s="28">
        <v>150</v>
      </c>
      <c r="I615" s="28">
        <f t="shared" si="42"/>
        <v>91</v>
      </c>
      <c r="J615" s="28">
        <f t="shared" si="43"/>
        <v>91</v>
      </c>
      <c r="K615" s="29">
        <f t="shared" si="45"/>
        <v>271</v>
      </c>
      <c r="L615" s="24">
        <v>75000</v>
      </c>
      <c r="M615" s="3">
        <v>98000</v>
      </c>
      <c r="N615" s="28">
        <v>160</v>
      </c>
      <c r="P615" s="25" t="s">
        <v>659</v>
      </c>
    </row>
    <row r="616" spans="1:16" s="28" customFormat="1" x14ac:dyDescent="0.25">
      <c r="A616" s="28" t="s">
        <v>27</v>
      </c>
      <c r="B616" s="25" t="s">
        <v>36</v>
      </c>
      <c r="C616" s="25">
        <v>7500</v>
      </c>
      <c r="D616" s="30">
        <v>92</v>
      </c>
      <c r="E616" s="28">
        <f t="shared" si="44"/>
        <v>0.10500000000000001</v>
      </c>
      <c r="F616" s="28">
        <v>80</v>
      </c>
      <c r="G616" s="28">
        <v>25</v>
      </c>
      <c r="H616" s="28">
        <v>150</v>
      </c>
      <c r="I616" s="28">
        <f t="shared" si="42"/>
        <v>92</v>
      </c>
      <c r="J616" s="28">
        <f t="shared" si="43"/>
        <v>92</v>
      </c>
      <c r="K616" s="29">
        <f t="shared" si="45"/>
        <v>272</v>
      </c>
      <c r="L616" s="24">
        <v>75000</v>
      </c>
      <c r="M616" s="3">
        <v>98000</v>
      </c>
      <c r="N616" s="28">
        <v>160</v>
      </c>
      <c r="P616" s="25" t="s">
        <v>660</v>
      </c>
    </row>
    <row r="617" spans="1:16" s="28" customFormat="1" x14ac:dyDescent="0.25">
      <c r="A617" s="28" t="s">
        <v>27</v>
      </c>
      <c r="B617" s="25" t="s">
        <v>36</v>
      </c>
      <c r="C617" s="25">
        <v>7500</v>
      </c>
      <c r="D617" s="30">
        <v>93</v>
      </c>
      <c r="E617" s="28">
        <f t="shared" si="44"/>
        <v>0.10500000000000001</v>
      </c>
      <c r="F617" s="28">
        <v>80</v>
      </c>
      <c r="G617" s="28">
        <v>25</v>
      </c>
      <c r="H617" s="28">
        <v>150</v>
      </c>
      <c r="I617" s="28">
        <f t="shared" si="42"/>
        <v>93</v>
      </c>
      <c r="J617" s="28">
        <f t="shared" si="43"/>
        <v>93</v>
      </c>
      <c r="K617" s="29">
        <f t="shared" si="45"/>
        <v>273</v>
      </c>
      <c r="L617" s="24">
        <v>75000</v>
      </c>
      <c r="M617" s="3">
        <v>98000</v>
      </c>
      <c r="N617" s="28">
        <v>160</v>
      </c>
      <c r="P617" s="25" t="s">
        <v>661</v>
      </c>
    </row>
    <row r="618" spans="1:16" s="28" customFormat="1" x14ac:dyDescent="0.25">
      <c r="A618" s="28" t="s">
        <v>27</v>
      </c>
      <c r="B618" s="25" t="s">
        <v>36</v>
      </c>
      <c r="C618" s="25">
        <v>7500</v>
      </c>
      <c r="D618" s="28">
        <v>94</v>
      </c>
      <c r="E618" s="28">
        <f t="shared" si="44"/>
        <v>0.10500000000000001</v>
      </c>
      <c r="F618" s="28">
        <v>80</v>
      </c>
      <c r="G618" s="28">
        <v>25</v>
      </c>
      <c r="H618" s="28">
        <v>150</v>
      </c>
      <c r="I618" s="28">
        <f t="shared" si="42"/>
        <v>94</v>
      </c>
      <c r="J618" s="28">
        <f t="shared" si="43"/>
        <v>94</v>
      </c>
      <c r="K618" s="29">
        <f t="shared" si="45"/>
        <v>274</v>
      </c>
      <c r="L618" s="24">
        <v>75000</v>
      </c>
      <c r="M618" s="3">
        <v>98000</v>
      </c>
      <c r="N618" s="28">
        <v>160</v>
      </c>
      <c r="P618" s="25" t="s">
        <v>662</v>
      </c>
    </row>
    <row r="619" spans="1:16" s="28" customFormat="1" x14ac:dyDescent="0.25">
      <c r="A619" s="28" t="s">
        <v>27</v>
      </c>
      <c r="B619" s="25" t="s">
        <v>36</v>
      </c>
      <c r="C619" s="25">
        <v>7500</v>
      </c>
      <c r="D619" s="30">
        <v>95</v>
      </c>
      <c r="E619" s="28">
        <f t="shared" si="44"/>
        <v>0.10500000000000001</v>
      </c>
      <c r="F619" s="28">
        <v>80</v>
      </c>
      <c r="G619" s="28">
        <v>25</v>
      </c>
      <c r="H619" s="28">
        <v>150</v>
      </c>
      <c r="I619" s="28">
        <f t="shared" si="42"/>
        <v>95</v>
      </c>
      <c r="J619" s="28">
        <f t="shared" si="43"/>
        <v>95</v>
      </c>
      <c r="K619" s="29">
        <f t="shared" si="45"/>
        <v>275</v>
      </c>
      <c r="L619" s="24">
        <v>75000</v>
      </c>
      <c r="M619" s="3">
        <v>98000</v>
      </c>
      <c r="N619" s="28">
        <v>160</v>
      </c>
      <c r="P619" s="25" t="s">
        <v>663</v>
      </c>
    </row>
    <row r="620" spans="1:16" s="28" customFormat="1" x14ac:dyDescent="0.25">
      <c r="A620" s="28" t="s">
        <v>27</v>
      </c>
      <c r="B620" s="25" t="s">
        <v>36</v>
      </c>
      <c r="C620" s="25">
        <v>7500</v>
      </c>
      <c r="D620" s="30">
        <v>96</v>
      </c>
      <c r="E620" s="28">
        <f t="shared" si="44"/>
        <v>0.10500000000000001</v>
      </c>
      <c r="F620" s="28">
        <v>80</v>
      </c>
      <c r="G620" s="28">
        <v>25</v>
      </c>
      <c r="H620" s="28">
        <v>150</v>
      </c>
      <c r="I620" s="28">
        <f t="shared" si="42"/>
        <v>96</v>
      </c>
      <c r="J620" s="28">
        <f t="shared" si="43"/>
        <v>96</v>
      </c>
      <c r="K620" s="29">
        <f t="shared" si="45"/>
        <v>276</v>
      </c>
      <c r="L620" s="24">
        <v>75000</v>
      </c>
      <c r="M620" s="3">
        <v>98000</v>
      </c>
      <c r="N620" s="28">
        <v>160</v>
      </c>
      <c r="P620" s="25" t="s">
        <v>664</v>
      </c>
    </row>
    <row r="621" spans="1:16" s="28" customFormat="1" x14ac:dyDescent="0.25">
      <c r="A621" s="28" t="s">
        <v>27</v>
      </c>
      <c r="B621" s="25" t="s">
        <v>36</v>
      </c>
      <c r="C621" s="25">
        <v>7500</v>
      </c>
      <c r="D621" s="28">
        <v>97</v>
      </c>
      <c r="E621" s="28">
        <f t="shared" si="44"/>
        <v>0.10500000000000001</v>
      </c>
      <c r="F621" s="28">
        <v>80</v>
      </c>
      <c r="G621" s="28">
        <v>25</v>
      </c>
      <c r="H621" s="28">
        <v>150</v>
      </c>
      <c r="I621" s="28">
        <f t="shared" si="42"/>
        <v>97</v>
      </c>
      <c r="J621" s="28">
        <f t="shared" si="43"/>
        <v>97</v>
      </c>
      <c r="K621" s="29">
        <f t="shared" si="45"/>
        <v>277</v>
      </c>
      <c r="L621" s="24">
        <v>75000</v>
      </c>
      <c r="M621" s="3">
        <v>98000</v>
      </c>
      <c r="N621" s="28">
        <v>160</v>
      </c>
      <c r="P621" s="25" t="s">
        <v>665</v>
      </c>
    </row>
    <row r="622" spans="1:16" s="28" customFormat="1" x14ac:dyDescent="0.25">
      <c r="A622" s="28" t="s">
        <v>27</v>
      </c>
      <c r="B622" s="25" t="s">
        <v>36</v>
      </c>
      <c r="C622" s="25">
        <v>7500</v>
      </c>
      <c r="D622" s="30">
        <v>98</v>
      </c>
      <c r="E622" s="28">
        <f t="shared" si="44"/>
        <v>0.10500000000000001</v>
      </c>
      <c r="F622" s="28">
        <v>80</v>
      </c>
      <c r="G622" s="28">
        <v>25</v>
      </c>
      <c r="H622" s="28">
        <v>150</v>
      </c>
      <c r="I622" s="28">
        <f t="shared" si="42"/>
        <v>98</v>
      </c>
      <c r="J622" s="28">
        <f t="shared" si="43"/>
        <v>98</v>
      </c>
      <c r="K622" s="29">
        <f t="shared" si="45"/>
        <v>278</v>
      </c>
      <c r="L622" s="24">
        <v>75000</v>
      </c>
      <c r="M622" s="3">
        <v>98000</v>
      </c>
      <c r="N622" s="28">
        <v>160</v>
      </c>
      <c r="P622" s="25" t="s">
        <v>666</v>
      </c>
    </row>
    <row r="623" spans="1:16" s="28" customFormat="1" x14ac:dyDescent="0.25">
      <c r="A623" s="28" t="s">
        <v>27</v>
      </c>
      <c r="B623" s="25" t="s">
        <v>36</v>
      </c>
      <c r="C623" s="25">
        <v>7500</v>
      </c>
      <c r="D623" s="30">
        <v>99</v>
      </c>
      <c r="E623" s="28">
        <f t="shared" si="44"/>
        <v>0.10500000000000001</v>
      </c>
      <c r="F623" s="28">
        <v>80</v>
      </c>
      <c r="G623" s="28">
        <v>25</v>
      </c>
      <c r="H623" s="28">
        <v>150</v>
      </c>
      <c r="I623" s="28">
        <f t="shared" si="42"/>
        <v>99</v>
      </c>
      <c r="J623" s="28">
        <f t="shared" si="43"/>
        <v>99</v>
      </c>
      <c r="K623" s="29">
        <f t="shared" si="45"/>
        <v>279</v>
      </c>
      <c r="L623" s="24">
        <v>75000</v>
      </c>
      <c r="M623" s="3">
        <v>98000</v>
      </c>
      <c r="N623" s="28">
        <v>160</v>
      </c>
      <c r="P623" s="25" t="s">
        <v>667</v>
      </c>
    </row>
    <row r="624" spans="1:16" s="28" customFormat="1" x14ac:dyDescent="0.25">
      <c r="A624" s="28" t="s">
        <v>27</v>
      </c>
      <c r="B624" s="25" t="s">
        <v>36</v>
      </c>
      <c r="C624" s="25">
        <v>7500</v>
      </c>
      <c r="D624" s="28">
        <v>100</v>
      </c>
      <c r="E624" s="28">
        <f t="shared" si="44"/>
        <v>0.10500000000000001</v>
      </c>
      <c r="F624" s="28">
        <v>80</v>
      </c>
      <c r="G624" s="28">
        <v>25</v>
      </c>
      <c r="H624" s="28">
        <v>150</v>
      </c>
      <c r="I624" s="28">
        <f t="shared" si="42"/>
        <v>100</v>
      </c>
      <c r="J624" s="28">
        <f t="shared" si="43"/>
        <v>100</v>
      </c>
      <c r="K624" s="29">
        <f t="shared" si="45"/>
        <v>280</v>
      </c>
      <c r="L624" s="24">
        <v>75000</v>
      </c>
      <c r="M624" s="3">
        <v>98000</v>
      </c>
      <c r="N624" s="28">
        <v>160</v>
      </c>
      <c r="P624" s="25" t="s">
        <v>668</v>
      </c>
    </row>
    <row r="625" spans="1:16" s="28" customFormat="1" x14ac:dyDescent="0.25">
      <c r="A625" s="28" t="s">
        <v>27</v>
      </c>
      <c r="B625" s="25" t="s">
        <v>36</v>
      </c>
      <c r="C625" s="25">
        <v>7500</v>
      </c>
      <c r="D625" s="30">
        <v>101</v>
      </c>
      <c r="E625" s="28">
        <f t="shared" si="44"/>
        <v>0.10500000000000001</v>
      </c>
      <c r="F625" s="28">
        <v>80</v>
      </c>
      <c r="G625" s="28">
        <v>25</v>
      </c>
      <c r="H625" s="28">
        <v>150</v>
      </c>
      <c r="I625" s="28">
        <f t="shared" si="42"/>
        <v>101</v>
      </c>
      <c r="J625" s="28">
        <f t="shared" si="43"/>
        <v>101</v>
      </c>
      <c r="K625" s="29">
        <f t="shared" si="45"/>
        <v>281</v>
      </c>
      <c r="L625" s="24">
        <v>75000</v>
      </c>
      <c r="M625" s="3">
        <v>98000</v>
      </c>
      <c r="N625" s="28">
        <v>160</v>
      </c>
      <c r="P625" s="25" t="s">
        <v>669</v>
      </c>
    </row>
    <row r="626" spans="1:16" s="28" customFormat="1" x14ac:dyDescent="0.25">
      <c r="A626" s="28" t="s">
        <v>27</v>
      </c>
      <c r="B626" s="25" t="s">
        <v>36</v>
      </c>
      <c r="C626" s="25">
        <v>7500</v>
      </c>
      <c r="D626" s="30">
        <v>102</v>
      </c>
      <c r="E626" s="28">
        <f t="shared" si="44"/>
        <v>0.10500000000000001</v>
      </c>
      <c r="F626" s="28">
        <v>80</v>
      </c>
      <c r="G626" s="28">
        <v>25</v>
      </c>
      <c r="H626" s="28">
        <v>150</v>
      </c>
      <c r="I626" s="28">
        <f t="shared" si="42"/>
        <v>102</v>
      </c>
      <c r="J626" s="28">
        <f t="shared" si="43"/>
        <v>102</v>
      </c>
      <c r="K626" s="29">
        <f t="shared" si="45"/>
        <v>282</v>
      </c>
      <c r="L626" s="24">
        <v>75000</v>
      </c>
      <c r="M626" s="3">
        <v>98000</v>
      </c>
      <c r="N626" s="28">
        <v>160</v>
      </c>
      <c r="P626" s="25" t="s">
        <v>670</v>
      </c>
    </row>
    <row r="627" spans="1:16" s="28" customFormat="1" x14ac:dyDescent="0.25">
      <c r="A627" s="28" t="s">
        <v>27</v>
      </c>
      <c r="B627" s="25" t="s">
        <v>36</v>
      </c>
      <c r="C627" s="25">
        <v>7500</v>
      </c>
      <c r="D627" s="28">
        <v>103</v>
      </c>
      <c r="E627" s="28">
        <f t="shared" si="44"/>
        <v>0.10500000000000001</v>
      </c>
      <c r="F627" s="28">
        <v>80</v>
      </c>
      <c r="G627" s="28">
        <v>25</v>
      </c>
      <c r="H627" s="28">
        <v>150</v>
      </c>
      <c r="I627" s="28">
        <f t="shared" si="42"/>
        <v>103</v>
      </c>
      <c r="J627" s="28">
        <f t="shared" si="43"/>
        <v>103</v>
      </c>
      <c r="K627" s="29">
        <f t="shared" si="45"/>
        <v>283</v>
      </c>
      <c r="L627" s="24">
        <v>75000</v>
      </c>
      <c r="M627" s="3">
        <v>98000</v>
      </c>
      <c r="N627" s="28">
        <v>160</v>
      </c>
      <c r="P627" s="25" t="s">
        <v>671</v>
      </c>
    </row>
    <row r="628" spans="1:16" s="28" customFormat="1" x14ac:dyDescent="0.25">
      <c r="A628" s="28" t="s">
        <v>27</v>
      </c>
      <c r="B628" s="25" t="s">
        <v>36</v>
      </c>
      <c r="C628" s="25">
        <v>7500</v>
      </c>
      <c r="D628" s="30">
        <v>104</v>
      </c>
      <c r="E628" s="28">
        <f t="shared" si="44"/>
        <v>0.10500000000000001</v>
      </c>
      <c r="F628" s="28">
        <v>80</v>
      </c>
      <c r="G628" s="28">
        <v>25</v>
      </c>
      <c r="H628" s="28">
        <v>150</v>
      </c>
      <c r="I628" s="28">
        <f t="shared" si="42"/>
        <v>104</v>
      </c>
      <c r="J628" s="28">
        <f t="shared" si="43"/>
        <v>104</v>
      </c>
      <c r="K628" s="29">
        <f t="shared" si="45"/>
        <v>284</v>
      </c>
      <c r="L628" s="24">
        <v>75000</v>
      </c>
      <c r="M628" s="3">
        <v>98000</v>
      </c>
      <c r="N628" s="28">
        <v>160</v>
      </c>
      <c r="P628" s="25" t="s">
        <v>672</v>
      </c>
    </row>
    <row r="629" spans="1:16" s="28" customFormat="1" x14ac:dyDescent="0.25">
      <c r="A629" s="28" t="s">
        <v>27</v>
      </c>
      <c r="B629" s="25" t="s">
        <v>36</v>
      </c>
      <c r="C629" s="25">
        <v>7500</v>
      </c>
      <c r="D629" s="30">
        <v>105</v>
      </c>
      <c r="E629" s="28">
        <f t="shared" si="44"/>
        <v>0.10500000000000001</v>
      </c>
      <c r="F629" s="28">
        <v>80</v>
      </c>
      <c r="G629" s="28">
        <v>25</v>
      </c>
      <c r="H629" s="28">
        <v>150</v>
      </c>
      <c r="I629" s="28">
        <f t="shared" si="42"/>
        <v>105</v>
      </c>
      <c r="J629" s="28">
        <f t="shared" si="43"/>
        <v>105</v>
      </c>
      <c r="K629" s="29">
        <f t="shared" si="45"/>
        <v>285</v>
      </c>
      <c r="L629" s="24">
        <v>75000</v>
      </c>
      <c r="M629" s="3">
        <v>98000</v>
      </c>
      <c r="N629" s="28">
        <v>160</v>
      </c>
      <c r="P629" s="25" t="s">
        <v>673</v>
      </c>
    </row>
    <row r="630" spans="1:16" s="28" customFormat="1" x14ac:dyDescent="0.25">
      <c r="A630" s="28" t="s">
        <v>27</v>
      </c>
      <c r="B630" s="25" t="s">
        <v>36</v>
      </c>
      <c r="C630" s="25">
        <v>7500</v>
      </c>
      <c r="D630" s="28">
        <v>106</v>
      </c>
      <c r="E630" s="28">
        <f t="shared" si="44"/>
        <v>0.10500000000000001</v>
      </c>
      <c r="F630" s="28">
        <v>80</v>
      </c>
      <c r="G630" s="28">
        <v>25</v>
      </c>
      <c r="H630" s="28">
        <v>150</v>
      </c>
      <c r="I630" s="28">
        <f t="shared" si="42"/>
        <v>106</v>
      </c>
      <c r="J630" s="28">
        <f t="shared" si="43"/>
        <v>106</v>
      </c>
      <c r="K630" s="29">
        <f t="shared" si="45"/>
        <v>286</v>
      </c>
      <c r="L630" s="24">
        <v>75000</v>
      </c>
      <c r="M630" s="3">
        <v>98000</v>
      </c>
      <c r="N630" s="28">
        <v>160</v>
      </c>
      <c r="P630" s="25" t="s">
        <v>674</v>
      </c>
    </row>
    <row r="631" spans="1:16" s="28" customFormat="1" x14ac:dyDescent="0.25">
      <c r="A631" s="28" t="s">
        <v>27</v>
      </c>
      <c r="B631" s="25" t="s">
        <v>36</v>
      </c>
      <c r="C631" s="25">
        <v>7500</v>
      </c>
      <c r="D631" s="30">
        <v>107</v>
      </c>
      <c r="E631" s="28">
        <f t="shared" si="44"/>
        <v>0.10500000000000001</v>
      </c>
      <c r="F631" s="28">
        <v>80</v>
      </c>
      <c r="G631" s="28">
        <v>25</v>
      </c>
      <c r="H631" s="28">
        <v>150</v>
      </c>
      <c r="I631" s="28">
        <f t="shared" si="42"/>
        <v>107</v>
      </c>
      <c r="J631" s="28">
        <f t="shared" si="43"/>
        <v>107</v>
      </c>
      <c r="K631" s="29">
        <f t="shared" si="45"/>
        <v>287</v>
      </c>
      <c r="L631" s="24">
        <v>75000</v>
      </c>
      <c r="M631" s="3">
        <v>98000</v>
      </c>
      <c r="N631" s="28">
        <v>160</v>
      </c>
      <c r="P631" s="25" t="s">
        <v>675</v>
      </c>
    </row>
    <row r="632" spans="1:16" s="28" customFormat="1" x14ac:dyDescent="0.25">
      <c r="A632" s="28" t="s">
        <v>27</v>
      </c>
      <c r="B632" s="25" t="s">
        <v>36</v>
      </c>
      <c r="C632" s="25">
        <v>7500</v>
      </c>
      <c r="D632" s="30">
        <v>108</v>
      </c>
      <c r="E632" s="28">
        <f t="shared" si="44"/>
        <v>0.10500000000000001</v>
      </c>
      <c r="F632" s="28">
        <v>80</v>
      </c>
      <c r="G632" s="28">
        <v>25</v>
      </c>
      <c r="H632" s="28">
        <v>150</v>
      </c>
      <c r="I632" s="28">
        <f t="shared" si="42"/>
        <v>108</v>
      </c>
      <c r="J632" s="28">
        <f t="shared" si="43"/>
        <v>108</v>
      </c>
      <c r="K632" s="29">
        <f t="shared" si="45"/>
        <v>288</v>
      </c>
      <c r="L632" s="24">
        <v>75000</v>
      </c>
      <c r="M632" s="3">
        <v>98000</v>
      </c>
      <c r="N632" s="28">
        <v>160</v>
      </c>
      <c r="P632" s="25" t="s">
        <v>676</v>
      </c>
    </row>
    <row r="633" spans="1:16" s="28" customFormat="1" x14ac:dyDescent="0.25">
      <c r="A633" s="28" t="s">
        <v>27</v>
      </c>
      <c r="B633" s="25" t="s">
        <v>36</v>
      </c>
      <c r="C633" s="25">
        <v>7500</v>
      </c>
      <c r="D633" s="28">
        <v>109</v>
      </c>
      <c r="E633" s="28">
        <f t="shared" si="44"/>
        <v>0.10500000000000001</v>
      </c>
      <c r="F633" s="28">
        <v>80</v>
      </c>
      <c r="G633" s="28">
        <v>25</v>
      </c>
      <c r="H633" s="28">
        <v>150</v>
      </c>
      <c r="I633" s="28">
        <f t="shared" si="42"/>
        <v>109</v>
      </c>
      <c r="J633" s="28">
        <f t="shared" si="43"/>
        <v>109</v>
      </c>
      <c r="K633" s="29">
        <f t="shared" si="45"/>
        <v>289</v>
      </c>
      <c r="L633" s="24">
        <v>75000</v>
      </c>
      <c r="M633" s="3">
        <v>98000</v>
      </c>
      <c r="N633" s="28">
        <v>160</v>
      </c>
      <c r="P633" s="25" t="s">
        <v>677</v>
      </c>
    </row>
    <row r="634" spans="1:16" s="28" customFormat="1" x14ac:dyDescent="0.25">
      <c r="A634" s="28" t="s">
        <v>27</v>
      </c>
      <c r="B634" s="25" t="s">
        <v>36</v>
      </c>
      <c r="C634" s="25">
        <v>7500</v>
      </c>
      <c r="D634" s="30">
        <v>110</v>
      </c>
      <c r="E634" s="28">
        <f t="shared" si="44"/>
        <v>0.10500000000000001</v>
      </c>
      <c r="F634" s="28">
        <v>80</v>
      </c>
      <c r="G634" s="28">
        <v>25</v>
      </c>
      <c r="H634" s="28">
        <v>150</v>
      </c>
      <c r="I634" s="28">
        <f t="shared" si="42"/>
        <v>110</v>
      </c>
      <c r="J634" s="28">
        <f t="shared" si="43"/>
        <v>110</v>
      </c>
      <c r="K634" s="29">
        <f t="shared" si="45"/>
        <v>290</v>
      </c>
      <c r="L634" s="24">
        <v>75000</v>
      </c>
      <c r="M634" s="3">
        <v>98000</v>
      </c>
      <c r="N634" s="28">
        <v>160</v>
      </c>
      <c r="P634" s="25" t="s">
        <v>678</v>
      </c>
    </row>
    <row r="635" spans="1:16" s="28" customFormat="1" x14ac:dyDescent="0.25">
      <c r="A635" s="28" t="s">
        <v>27</v>
      </c>
      <c r="B635" s="25" t="s">
        <v>36</v>
      </c>
      <c r="C635" s="25">
        <v>7500</v>
      </c>
      <c r="D635" s="30">
        <v>111</v>
      </c>
      <c r="E635" s="28">
        <f t="shared" si="44"/>
        <v>0.10500000000000001</v>
      </c>
      <c r="F635" s="28">
        <v>80</v>
      </c>
      <c r="G635" s="28">
        <v>25</v>
      </c>
      <c r="H635" s="28">
        <v>150</v>
      </c>
      <c r="I635" s="28">
        <f t="shared" si="42"/>
        <v>111</v>
      </c>
      <c r="J635" s="28">
        <f t="shared" si="43"/>
        <v>111</v>
      </c>
      <c r="K635" s="29">
        <f t="shared" si="45"/>
        <v>291</v>
      </c>
      <c r="L635" s="24">
        <v>75000</v>
      </c>
      <c r="M635" s="3">
        <v>98000</v>
      </c>
      <c r="N635" s="28">
        <v>160</v>
      </c>
      <c r="P635" s="25" t="s">
        <v>679</v>
      </c>
    </row>
    <row r="636" spans="1:16" s="28" customFormat="1" x14ac:dyDescent="0.25">
      <c r="A636" s="28" t="s">
        <v>27</v>
      </c>
      <c r="B636" s="25" t="s">
        <v>36</v>
      </c>
      <c r="C636" s="25">
        <v>7500</v>
      </c>
      <c r="D636" s="28">
        <v>112</v>
      </c>
      <c r="E636" s="28">
        <f t="shared" si="44"/>
        <v>0.10500000000000001</v>
      </c>
      <c r="F636" s="28">
        <v>80</v>
      </c>
      <c r="G636" s="28">
        <v>25</v>
      </c>
      <c r="H636" s="28">
        <v>150</v>
      </c>
      <c r="I636" s="28">
        <f t="shared" si="42"/>
        <v>112</v>
      </c>
      <c r="J636" s="28">
        <f t="shared" si="43"/>
        <v>112</v>
      </c>
      <c r="K636" s="29">
        <f t="shared" si="45"/>
        <v>292</v>
      </c>
      <c r="L636" s="24">
        <v>75000</v>
      </c>
      <c r="M636" s="3">
        <v>98000</v>
      </c>
      <c r="N636" s="28">
        <v>160</v>
      </c>
      <c r="P636" s="25" t="s">
        <v>680</v>
      </c>
    </row>
    <row r="637" spans="1:16" s="28" customFormat="1" x14ac:dyDescent="0.25">
      <c r="A637" s="28" t="s">
        <v>27</v>
      </c>
      <c r="B637" s="25" t="s">
        <v>36</v>
      </c>
      <c r="C637" s="25">
        <v>7500</v>
      </c>
      <c r="D637" s="30">
        <v>113</v>
      </c>
      <c r="E637" s="28">
        <f t="shared" si="44"/>
        <v>0.10500000000000001</v>
      </c>
      <c r="F637" s="28">
        <v>80</v>
      </c>
      <c r="G637" s="28">
        <v>25</v>
      </c>
      <c r="H637" s="28">
        <v>150</v>
      </c>
      <c r="I637" s="28">
        <f t="shared" si="42"/>
        <v>113</v>
      </c>
      <c r="J637" s="28">
        <f t="shared" si="43"/>
        <v>113</v>
      </c>
      <c r="K637" s="29">
        <f t="shared" si="45"/>
        <v>293</v>
      </c>
      <c r="L637" s="24">
        <v>75000</v>
      </c>
      <c r="M637" s="3">
        <v>98000</v>
      </c>
      <c r="N637" s="28">
        <v>160</v>
      </c>
      <c r="P637" s="25" t="s">
        <v>681</v>
      </c>
    </row>
    <row r="638" spans="1:16" s="28" customFormat="1" x14ac:dyDescent="0.25">
      <c r="A638" s="28" t="s">
        <v>27</v>
      </c>
      <c r="B638" s="25" t="s">
        <v>36</v>
      </c>
      <c r="C638" s="25">
        <v>7500</v>
      </c>
      <c r="D638" s="30">
        <v>114</v>
      </c>
      <c r="E638" s="28">
        <f t="shared" si="44"/>
        <v>0.10500000000000001</v>
      </c>
      <c r="F638" s="28">
        <v>80</v>
      </c>
      <c r="G638" s="28">
        <v>25</v>
      </c>
      <c r="H638" s="28">
        <v>150</v>
      </c>
      <c r="I638" s="28">
        <f t="shared" si="42"/>
        <v>114</v>
      </c>
      <c r="J638" s="28">
        <f t="shared" si="43"/>
        <v>114</v>
      </c>
      <c r="K638" s="29">
        <f t="shared" si="45"/>
        <v>294</v>
      </c>
      <c r="L638" s="24">
        <v>75000</v>
      </c>
      <c r="M638" s="3">
        <v>98000</v>
      </c>
      <c r="N638" s="28">
        <v>160</v>
      </c>
      <c r="P638" s="25" t="s">
        <v>682</v>
      </c>
    </row>
    <row r="639" spans="1:16" s="28" customFormat="1" x14ac:dyDescent="0.25">
      <c r="A639" s="28" t="s">
        <v>27</v>
      </c>
      <c r="B639" s="25" t="s">
        <v>36</v>
      </c>
      <c r="C639" s="25">
        <v>7500</v>
      </c>
      <c r="D639" s="28">
        <v>115</v>
      </c>
      <c r="E639" s="28">
        <f t="shared" si="44"/>
        <v>0.10500000000000001</v>
      </c>
      <c r="F639" s="28">
        <v>80</v>
      </c>
      <c r="G639" s="28">
        <v>25</v>
      </c>
      <c r="H639" s="28">
        <v>150</v>
      </c>
      <c r="I639" s="28">
        <f t="shared" si="42"/>
        <v>115</v>
      </c>
      <c r="J639" s="28">
        <f t="shared" si="43"/>
        <v>115</v>
      </c>
      <c r="K639" s="29">
        <f t="shared" si="45"/>
        <v>295</v>
      </c>
      <c r="L639" s="24">
        <v>75000</v>
      </c>
      <c r="M639" s="3">
        <v>98000</v>
      </c>
      <c r="N639" s="28">
        <v>160</v>
      </c>
      <c r="P639" s="25" t="s">
        <v>683</v>
      </c>
    </row>
    <row r="640" spans="1:16" s="28" customFormat="1" x14ac:dyDescent="0.25">
      <c r="A640" s="28" t="s">
        <v>27</v>
      </c>
      <c r="B640" s="25" t="s">
        <v>36</v>
      </c>
      <c r="C640" s="25">
        <v>7500</v>
      </c>
      <c r="D640" s="30">
        <v>116</v>
      </c>
      <c r="E640" s="28">
        <f t="shared" si="44"/>
        <v>0.10500000000000001</v>
      </c>
      <c r="F640" s="28">
        <v>80</v>
      </c>
      <c r="G640" s="28">
        <v>25</v>
      </c>
      <c r="H640" s="28">
        <v>150</v>
      </c>
      <c r="I640" s="28">
        <f t="shared" si="42"/>
        <v>116</v>
      </c>
      <c r="J640" s="28">
        <f t="shared" si="43"/>
        <v>116</v>
      </c>
      <c r="K640" s="29">
        <f t="shared" si="45"/>
        <v>296</v>
      </c>
      <c r="L640" s="24">
        <v>75000</v>
      </c>
      <c r="M640" s="3">
        <v>98000</v>
      </c>
      <c r="N640" s="28">
        <v>160</v>
      </c>
      <c r="P640" s="25" t="s">
        <v>684</v>
      </c>
    </row>
    <row r="641" spans="1:16" s="28" customFormat="1" x14ac:dyDescent="0.25">
      <c r="A641" s="28" t="s">
        <v>27</v>
      </c>
      <c r="B641" s="25" t="s">
        <v>36</v>
      </c>
      <c r="C641" s="25">
        <v>7500</v>
      </c>
      <c r="D641" s="30">
        <v>117</v>
      </c>
      <c r="E641" s="28">
        <f t="shared" si="44"/>
        <v>0.10500000000000001</v>
      </c>
      <c r="F641" s="28">
        <v>80</v>
      </c>
      <c r="G641" s="28">
        <v>25</v>
      </c>
      <c r="H641" s="28">
        <v>150</v>
      </c>
      <c r="I641" s="28">
        <f t="shared" si="42"/>
        <v>117</v>
      </c>
      <c r="J641" s="28">
        <f t="shared" si="43"/>
        <v>117</v>
      </c>
      <c r="K641" s="29">
        <f t="shared" si="45"/>
        <v>297</v>
      </c>
      <c r="L641" s="24">
        <v>75000</v>
      </c>
      <c r="M641" s="3">
        <v>98000</v>
      </c>
      <c r="N641" s="28">
        <v>160</v>
      </c>
      <c r="P641" s="25" t="s">
        <v>685</v>
      </c>
    </row>
    <row r="642" spans="1:16" s="28" customFormat="1" x14ac:dyDescent="0.25">
      <c r="A642" s="28" t="s">
        <v>27</v>
      </c>
      <c r="B642" s="25" t="s">
        <v>36</v>
      </c>
      <c r="C642" s="25">
        <v>7500</v>
      </c>
      <c r="D642" s="28">
        <v>118</v>
      </c>
      <c r="E642" s="28">
        <f t="shared" si="44"/>
        <v>0.10500000000000001</v>
      </c>
      <c r="F642" s="28">
        <v>80</v>
      </c>
      <c r="G642" s="28">
        <v>25</v>
      </c>
      <c r="H642" s="28">
        <v>150</v>
      </c>
      <c r="I642" s="28">
        <f t="shared" si="42"/>
        <v>118</v>
      </c>
      <c r="J642" s="28">
        <f t="shared" si="43"/>
        <v>118</v>
      </c>
      <c r="K642" s="29">
        <f t="shared" si="45"/>
        <v>298</v>
      </c>
      <c r="L642" s="24">
        <v>75000</v>
      </c>
      <c r="M642" s="3">
        <v>98000</v>
      </c>
      <c r="N642" s="28">
        <v>160</v>
      </c>
      <c r="P642" s="25" t="s">
        <v>686</v>
      </c>
    </row>
    <row r="643" spans="1:16" s="28" customFormat="1" x14ac:dyDescent="0.25">
      <c r="A643" s="28" t="s">
        <v>27</v>
      </c>
      <c r="B643" s="25" t="s">
        <v>36</v>
      </c>
      <c r="C643" s="25">
        <v>7500</v>
      </c>
      <c r="D643" s="30">
        <v>119</v>
      </c>
      <c r="E643" s="28">
        <f t="shared" si="44"/>
        <v>0.10500000000000001</v>
      </c>
      <c r="F643" s="28">
        <v>80</v>
      </c>
      <c r="G643" s="28">
        <v>25</v>
      </c>
      <c r="H643" s="28">
        <v>150</v>
      </c>
      <c r="I643" s="28">
        <f t="shared" si="42"/>
        <v>119</v>
      </c>
      <c r="J643" s="28">
        <f t="shared" si="43"/>
        <v>119</v>
      </c>
      <c r="K643" s="29">
        <f t="shared" si="45"/>
        <v>299</v>
      </c>
      <c r="L643" s="24">
        <v>75000</v>
      </c>
      <c r="M643" s="3">
        <v>98000</v>
      </c>
      <c r="N643" s="28">
        <v>160</v>
      </c>
      <c r="P643" s="25" t="s">
        <v>687</v>
      </c>
    </row>
    <row r="644" spans="1:16" s="28" customFormat="1" x14ac:dyDescent="0.25">
      <c r="A644" s="28" t="s">
        <v>27</v>
      </c>
      <c r="B644" s="25" t="s">
        <v>36</v>
      </c>
      <c r="C644" s="25">
        <v>7500</v>
      </c>
      <c r="D644" s="30">
        <v>120</v>
      </c>
      <c r="E644" s="28">
        <f t="shared" si="44"/>
        <v>0.10500000000000001</v>
      </c>
      <c r="F644" s="28">
        <v>80</v>
      </c>
      <c r="G644" s="28">
        <v>25</v>
      </c>
      <c r="H644" s="28">
        <v>150</v>
      </c>
      <c r="I644" s="28">
        <f t="shared" si="42"/>
        <v>120</v>
      </c>
      <c r="J644" s="28">
        <f t="shared" si="43"/>
        <v>120</v>
      </c>
      <c r="K644" s="29">
        <f t="shared" si="45"/>
        <v>300</v>
      </c>
      <c r="L644" s="24">
        <v>75000</v>
      </c>
      <c r="M644" s="3">
        <v>98000</v>
      </c>
      <c r="N644" s="28">
        <v>160</v>
      </c>
      <c r="P644" s="25" t="s">
        <v>688</v>
      </c>
    </row>
    <row r="645" spans="1:16" s="28" customFormat="1" x14ac:dyDescent="0.25">
      <c r="A645" s="28" t="s">
        <v>27</v>
      </c>
      <c r="B645" s="25" t="s">
        <v>36</v>
      </c>
      <c r="C645" s="25">
        <v>7500</v>
      </c>
      <c r="D645" s="28">
        <v>121</v>
      </c>
      <c r="E645" s="28">
        <f t="shared" si="44"/>
        <v>0.10500000000000001</v>
      </c>
      <c r="F645" s="28">
        <v>80</v>
      </c>
      <c r="G645" s="28">
        <v>25</v>
      </c>
      <c r="H645" s="28">
        <v>150</v>
      </c>
      <c r="I645" s="28">
        <f t="shared" si="42"/>
        <v>121</v>
      </c>
      <c r="J645" s="28">
        <f t="shared" si="43"/>
        <v>121</v>
      </c>
      <c r="K645" s="29">
        <f t="shared" si="45"/>
        <v>301</v>
      </c>
      <c r="L645" s="24">
        <v>75000</v>
      </c>
      <c r="M645" s="3">
        <v>98000</v>
      </c>
      <c r="N645" s="28">
        <v>160</v>
      </c>
      <c r="P645" s="25" t="s">
        <v>689</v>
      </c>
    </row>
    <row r="646" spans="1:16" s="28" customFormat="1" x14ac:dyDescent="0.25">
      <c r="A646" s="28" t="s">
        <v>27</v>
      </c>
      <c r="B646" s="25" t="s">
        <v>36</v>
      </c>
      <c r="C646" s="25">
        <v>7500</v>
      </c>
      <c r="D646" s="30">
        <v>122</v>
      </c>
      <c r="E646" s="28">
        <f t="shared" si="44"/>
        <v>0.10500000000000001</v>
      </c>
      <c r="F646" s="28">
        <v>80</v>
      </c>
      <c r="G646" s="28">
        <v>25</v>
      </c>
      <c r="H646" s="28">
        <v>150</v>
      </c>
      <c r="I646" s="28">
        <f t="shared" si="42"/>
        <v>122</v>
      </c>
      <c r="J646" s="28">
        <f t="shared" si="43"/>
        <v>122</v>
      </c>
      <c r="K646" s="29">
        <f t="shared" si="45"/>
        <v>302</v>
      </c>
      <c r="L646" s="24">
        <v>75000</v>
      </c>
      <c r="M646" s="3">
        <v>98000</v>
      </c>
      <c r="N646" s="28">
        <v>160</v>
      </c>
      <c r="P646" s="25" t="s">
        <v>690</v>
      </c>
    </row>
    <row r="647" spans="1:16" s="28" customFormat="1" x14ac:dyDescent="0.25">
      <c r="A647" s="28" t="s">
        <v>27</v>
      </c>
      <c r="B647" s="25" t="s">
        <v>36</v>
      </c>
      <c r="C647" s="25">
        <v>7500</v>
      </c>
      <c r="D647" s="30">
        <v>123</v>
      </c>
      <c r="E647" s="28">
        <f t="shared" si="44"/>
        <v>0.10500000000000001</v>
      </c>
      <c r="F647" s="28">
        <v>80</v>
      </c>
      <c r="G647" s="28">
        <v>25</v>
      </c>
      <c r="H647" s="28">
        <v>150</v>
      </c>
      <c r="I647" s="28">
        <f t="shared" si="42"/>
        <v>123</v>
      </c>
      <c r="J647" s="28">
        <f t="shared" si="43"/>
        <v>123</v>
      </c>
      <c r="K647" s="29">
        <f t="shared" si="45"/>
        <v>303</v>
      </c>
      <c r="L647" s="24">
        <v>75000</v>
      </c>
      <c r="M647" s="3">
        <v>98000</v>
      </c>
      <c r="N647" s="28">
        <v>160</v>
      </c>
      <c r="P647" s="25" t="s">
        <v>691</v>
      </c>
    </row>
    <row r="648" spans="1:16" s="28" customFormat="1" x14ac:dyDescent="0.25">
      <c r="A648" s="28" t="s">
        <v>27</v>
      </c>
      <c r="B648" s="25" t="s">
        <v>36</v>
      </c>
      <c r="C648" s="25">
        <v>7500</v>
      </c>
      <c r="D648" s="28">
        <v>124</v>
      </c>
      <c r="E648" s="28">
        <f t="shared" si="44"/>
        <v>0.10500000000000001</v>
      </c>
      <c r="F648" s="28">
        <v>80</v>
      </c>
      <c r="G648" s="28">
        <v>25</v>
      </c>
      <c r="H648" s="28">
        <v>150</v>
      </c>
      <c r="I648" s="28">
        <f t="shared" si="42"/>
        <v>124</v>
      </c>
      <c r="J648" s="28">
        <f t="shared" si="43"/>
        <v>124</v>
      </c>
      <c r="K648" s="29">
        <f t="shared" si="45"/>
        <v>304</v>
      </c>
      <c r="L648" s="24">
        <v>75000</v>
      </c>
      <c r="M648" s="3">
        <v>98000</v>
      </c>
      <c r="N648" s="28">
        <v>160</v>
      </c>
      <c r="P648" s="25" t="s">
        <v>692</v>
      </c>
    </row>
    <row r="649" spans="1:16" s="28" customFormat="1" x14ac:dyDescent="0.25">
      <c r="A649" s="28" t="s">
        <v>27</v>
      </c>
      <c r="B649" s="25" t="s">
        <v>36</v>
      </c>
      <c r="C649" s="25">
        <v>7500</v>
      </c>
      <c r="D649" s="30">
        <v>125</v>
      </c>
      <c r="E649" s="28">
        <f t="shared" si="44"/>
        <v>0.10500000000000001</v>
      </c>
      <c r="F649" s="28">
        <v>80</v>
      </c>
      <c r="G649" s="28">
        <v>25</v>
      </c>
      <c r="H649" s="28">
        <v>150</v>
      </c>
      <c r="I649" s="28">
        <f t="shared" si="42"/>
        <v>125</v>
      </c>
      <c r="J649" s="28">
        <f t="shared" si="43"/>
        <v>125</v>
      </c>
      <c r="K649" s="29">
        <f t="shared" si="45"/>
        <v>305</v>
      </c>
      <c r="L649" s="24">
        <v>75000</v>
      </c>
      <c r="M649" s="3">
        <v>98000</v>
      </c>
      <c r="N649" s="28">
        <v>160</v>
      </c>
      <c r="P649" s="25" t="s">
        <v>693</v>
      </c>
    </row>
    <row r="650" spans="1:16" s="28" customFormat="1" x14ac:dyDescent="0.25">
      <c r="A650" s="28" t="s">
        <v>27</v>
      </c>
      <c r="B650" s="25" t="s">
        <v>36</v>
      </c>
      <c r="C650" s="25">
        <v>7500</v>
      </c>
      <c r="D650" s="30">
        <v>126</v>
      </c>
      <c r="E650" s="28">
        <f t="shared" si="44"/>
        <v>0.10500000000000001</v>
      </c>
      <c r="F650" s="28">
        <v>80</v>
      </c>
      <c r="G650" s="28">
        <v>25</v>
      </c>
      <c r="H650" s="28">
        <v>150</v>
      </c>
      <c r="I650" s="28">
        <f t="shared" si="42"/>
        <v>126</v>
      </c>
      <c r="J650" s="28">
        <f t="shared" si="43"/>
        <v>126</v>
      </c>
      <c r="K650" s="29">
        <f t="shared" si="45"/>
        <v>306</v>
      </c>
      <c r="L650" s="24">
        <v>75000</v>
      </c>
      <c r="M650" s="3">
        <v>98000</v>
      </c>
      <c r="N650" s="28">
        <v>160</v>
      </c>
      <c r="P650" s="25" t="s">
        <v>694</v>
      </c>
    </row>
    <row r="651" spans="1:16" s="28" customFormat="1" x14ac:dyDescent="0.25">
      <c r="A651" s="28" t="s">
        <v>27</v>
      </c>
      <c r="B651" s="25" t="s">
        <v>36</v>
      </c>
      <c r="C651" s="25">
        <v>7500</v>
      </c>
      <c r="D651" s="28">
        <v>127</v>
      </c>
      <c r="E651" s="28">
        <f t="shared" si="44"/>
        <v>0.10500000000000001</v>
      </c>
      <c r="F651" s="28">
        <v>80</v>
      </c>
      <c r="G651" s="28">
        <v>25</v>
      </c>
      <c r="H651" s="28">
        <v>150</v>
      </c>
      <c r="I651" s="28">
        <f t="shared" si="42"/>
        <v>127</v>
      </c>
      <c r="J651" s="28">
        <f t="shared" si="43"/>
        <v>127</v>
      </c>
      <c r="K651" s="29">
        <f t="shared" si="45"/>
        <v>307</v>
      </c>
      <c r="L651" s="24">
        <v>75000</v>
      </c>
      <c r="M651" s="3">
        <v>98000</v>
      </c>
      <c r="N651" s="28">
        <v>160</v>
      </c>
      <c r="P651" s="25" t="s">
        <v>695</v>
      </c>
    </row>
    <row r="652" spans="1:16" s="28" customFormat="1" x14ac:dyDescent="0.25">
      <c r="A652" s="28" t="s">
        <v>27</v>
      </c>
      <c r="B652" s="25" t="s">
        <v>36</v>
      </c>
      <c r="C652" s="25">
        <v>7500</v>
      </c>
      <c r="D652" s="30">
        <v>128</v>
      </c>
      <c r="E652" s="28">
        <f t="shared" si="44"/>
        <v>0.10500000000000001</v>
      </c>
      <c r="F652" s="28">
        <v>80</v>
      </c>
      <c r="G652" s="28">
        <v>25</v>
      </c>
      <c r="H652" s="28">
        <v>150</v>
      </c>
      <c r="I652" s="28">
        <f t="shared" si="42"/>
        <v>128</v>
      </c>
      <c r="J652" s="28">
        <f t="shared" si="43"/>
        <v>128</v>
      </c>
      <c r="K652" s="29">
        <f t="shared" si="45"/>
        <v>308</v>
      </c>
      <c r="L652" s="24">
        <v>75000</v>
      </c>
      <c r="M652" s="3">
        <v>98000</v>
      </c>
      <c r="N652" s="28">
        <v>160</v>
      </c>
      <c r="P652" s="25" t="s">
        <v>696</v>
      </c>
    </row>
    <row r="653" spans="1:16" s="28" customFormat="1" x14ac:dyDescent="0.25">
      <c r="A653" s="28" t="s">
        <v>27</v>
      </c>
      <c r="B653" s="25" t="s">
        <v>36</v>
      </c>
      <c r="C653" s="25">
        <v>7500</v>
      </c>
      <c r="D653" s="30">
        <v>129</v>
      </c>
      <c r="E653" s="28">
        <f t="shared" si="44"/>
        <v>0.10500000000000001</v>
      </c>
      <c r="F653" s="28">
        <v>80</v>
      </c>
      <c r="G653" s="28">
        <v>25</v>
      </c>
      <c r="H653" s="28">
        <v>150</v>
      </c>
      <c r="I653" s="28">
        <f t="shared" si="42"/>
        <v>129</v>
      </c>
      <c r="J653" s="28">
        <f t="shared" si="43"/>
        <v>129</v>
      </c>
      <c r="K653" s="29">
        <f t="shared" si="45"/>
        <v>309</v>
      </c>
      <c r="L653" s="24">
        <v>75000</v>
      </c>
      <c r="M653" s="3">
        <v>98000</v>
      </c>
      <c r="N653" s="28">
        <v>160</v>
      </c>
      <c r="P653" s="25" t="s">
        <v>697</v>
      </c>
    </row>
    <row r="654" spans="1:16" s="28" customFormat="1" x14ac:dyDescent="0.25">
      <c r="A654" s="28" t="s">
        <v>27</v>
      </c>
      <c r="B654" s="25" t="s">
        <v>36</v>
      </c>
      <c r="C654" s="25">
        <v>7500</v>
      </c>
      <c r="D654" s="28">
        <v>130</v>
      </c>
      <c r="E654" s="28">
        <f t="shared" si="44"/>
        <v>0.10500000000000001</v>
      </c>
      <c r="F654" s="28">
        <v>80</v>
      </c>
      <c r="G654" s="28">
        <v>25</v>
      </c>
      <c r="H654" s="28">
        <v>150</v>
      </c>
      <c r="I654" s="28">
        <f t="shared" si="42"/>
        <v>130</v>
      </c>
      <c r="J654" s="28">
        <f t="shared" si="43"/>
        <v>130</v>
      </c>
      <c r="K654" s="29">
        <f t="shared" si="45"/>
        <v>310</v>
      </c>
      <c r="L654" s="24">
        <v>75000</v>
      </c>
      <c r="M654" s="3">
        <v>98000</v>
      </c>
      <c r="N654" s="28">
        <v>160</v>
      </c>
      <c r="P654" s="25" t="s">
        <v>698</v>
      </c>
    </row>
    <row r="655" spans="1:16" s="28" customFormat="1" x14ac:dyDescent="0.25">
      <c r="A655" s="28" t="s">
        <v>27</v>
      </c>
      <c r="B655" s="25" t="s">
        <v>36</v>
      </c>
      <c r="C655" s="25">
        <v>7500</v>
      </c>
      <c r="D655" s="30">
        <v>131</v>
      </c>
      <c r="E655" s="28">
        <f t="shared" si="44"/>
        <v>0.10500000000000001</v>
      </c>
      <c r="F655" s="28">
        <v>80</v>
      </c>
      <c r="G655" s="28">
        <v>25</v>
      </c>
      <c r="H655" s="28">
        <v>150</v>
      </c>
      <c r="I655" s="28">
        <f t="shared" si="42"/>
        <v>131</v>
      </c>
      <c r="J655" s="28">
        <f t="shared" si="43"/>
        <v>131</v>
      </c>
      <c r="K655" s="29">
        <f t="shared" si="45"/>
        <v>311</v>
      </c>
      <c r="L655" s="24">
        <v>75000</v>
      </c>
      <c r="M655" s="3">
        <v>98000</v>
      </c>
      <c r="N655" s="28">
        <v>160</v>
      </c>
      <c r="P655" s="25" t="s">
        <v>699</v>
      </c>
    </row>
    <row r="656" spans="1:16" s="28" customFormat="1" x14ac:dyDescent="0.25">
      <c r="A656" s="28" t="s">
        <v>27</v>
      </c>
      <c r="B656" s="25" t="s">
        <v>36</v>
      </c>
      <c r="C656" s="25">
        <v>7500</v>
      </c>
      <c r="D656" s="30">
        <v>132</v>
      </c>
      <c r="E656" s="28">
        <f t="shared" si="44"/>
        <v>0.10500000000000001</v>
      </c>
      <c r="F656" s="28">
        <v>80</v>
      </c>
      <c r="G656" s="28">
        <v>25</v>
      </c>
      <c r="H656" s="28">
        <v>150</v>
      </c>
      <c r="I656" s="28">
        <f t="shared" si="42"/>
        <v>132</v>
      </c>
      <c r="J656" s="28">
        <f t="shared" si="43"/>
        <v>132</v>
      </c>
      <c r="K656" s="29">
        <f t="shared" si="45"/>
        <v>312</v>
      </c>
      <c r="L656" s="24">
        <v>75000</v>
      </c>
      <c r="M656" s="3">
        <v>98000</v>
      </c>
      <c r="N656" s="28">
        <v>160</v>
      </c>
      <c r="P656" s="25" t="s">
        <v>700</v>
      </c>
    </row>
    <row r="657" spans="1:16" s="28" customFormat="1" x14ac:dyDescent="0.25">
      <c r="A657" s="28" t="s">
        <v>27</v>
      </c>
      <c r="B657" s="25" t="s">
        <v>36</v>
      </c>
      <c r="C657" s="25">
        <v>7500</v>
      </c>
      <c r="D657" s="28">
        <v>133</v>
      </c>
      <c r="E657" s="28">
        <f t="shared" si="44"/>
        <v>0.10500000000000001</v>
      </c>
      <c r="F657" s="28">
        <v>80</v>
      </c>
      <c r="G657" s="28">
        <v>25</v>
      </c>
      <c r="H657" s="28">
        <v>150</v>
      </c>
      <c r="I657" s="28">
        <f t="shared" si="42"/>
        <v>133</v>
      </c>
      <c r="J657" s="28">
        <f t="shared" si="43"/>
        <v>133</v>
      </c>
      <c r="K657" s="29">
        <f t="shared" si="45"/>
        <v>313</v>
      </c>
      <c r="L657" s="24">
        <v>75000</v>
      </c>
      <c r="M657" s="3">
        <v>98000</v>
      </c>
      <c r="N657" s="28">
        <v>160</v>
      </c>
      <c r="P657" s="25" t="s">
        <v>701</v>
      </c>
    </row>
    <row r="658" spans="1:16" s="28" customFormat="1" x14ac:dyDescent="0.25">
      <c r="A658" s="28" t="s">
        <v>27</v>
      </c>
      <c r="B658" s="25" t="s">
        <v>36</v>
      </c>
      <c r="C658" s="25">
        <v>7500</v>
      </c>
      <c r="D658" s="30">
        <v>134</v>
      </c>
      <c r="E658" s="28">
        <f t="shared" si="44"/>
        <v>0.10500000000000001</v>
      </c>
      <c r="F658" s="28">
        <v>80</v>
      </c>
      <c r="G658" s="28">
        <v>25</v>
      </c>
      <c r="H658" s="28">
        <v>150</v>
      </c>
      <c r="I658" s="28">
        <f t="shared" ref="I658:I684" si="46">D658</f>
        <v>134</v>
      </c>
      <c r="J658" s="28">
        <f t="shared" ref="J658:J684" si="47">D658</f>
        <v>134</v>
      </c>
      <c r="K658" s="29">
        <f t="shared" si="45"/>
        <v>314</v>
      </c>
      <c r="L658" s="24">
        <v>75000</v>
      </c>
      <c r="M658" s="3">
        <v>98000</v>
      </c>
      <c r="N658" s="28">
        <v>160</v>
      </c>
      <c r="P658" s="25" t="s">
        <v>702</v>
      </c>
    </row>
    <row r="659" spans="1:16" s="28" customFormat="1" x14ac:dyDescent="0.25">
      <c r="A659" s="28" t="s">
        <v>27</v>
      </c>
      <c r="B659" s="25" t="s">
        <v>36</v>
      </c>
      <c r="C659" s="25">
        <v>7500</v>
      </c>
      <c r="D659" s="30">
        <v>135</v>
      </c>
      <c r="E659" s="28">
        <f t="shared" si="44"/>
        <v>0.10500000000000001</v>
      </c>
      <c r="F659" s="28">
        <v>80</v>
      </c>
      <c r="G659" s="28">
        <v>25</v>
      </c>
      <c r="H659" s="28">
        <v>150</v>
      </c>
      <c r="I659" s="28">
        <f t="shared" si="46"/>
        <v>135</v>
      </c>
      <c r="J659" s="28">
        <f t="shared" si="47"/>
        <v>135</v>
      </c>
      <c r="K659" s="29">
        <f t="shared" si="45"/>
        <v>315</v>
      </c>
      <c r="L659" s="24">
        <v>75000</v>
      </c>
      <c r="M659" s="3">
        <v>98000</v>
      </c>
      <c r="N659" s="28">
        <v>160</v>
      </c>
      <c r="P659" s="25" t="s">
        <v>703</v>
      </c>
    </row>
    <row r="660" spans="1:16" s="28" customFormat="1" x14ac:dyDescent="0.25">
      <c r="A660" s="28" t="s">
        <v>27</v>
      </c>
      <c r="B660" s="25" t="s">
        <v>36</v>
      </c>
      <c r="C660" s="25">
        <v>7500</v>
      </c>
      <c r="D660" s="28">
        <v>136</v>
      </c>
      <c r="E660" s="28">
        <f t="shared" si="44"/>
        <v>0.10500000000000001</v>
      </c>
      <c r="F660" s="28">
        <v>80</v>
      </c>
      <c r="G660" s="28">
        <v>25</v>
      </c>
      <c r="H660" s="28">
        <v>150</v>
      </c>
      <c r="I660" s="28">
        <f t="shared" si="46"/>
        <v>136</v>
      </c>
      <c r="J660" s="28">
        <f t="shared" si="47"/>
        <v>136</v>
      </c>
      <c r="K660" s="29">
        <f t="shared" si="45"/>
        <v>316</v>
      </c>
      <c r="L660" s="24">
        <v>75000</v>
      </c>
      <c r="M660" s="3">
        <v>98000</v>
      </c>
      <c r="N660" s="28">
        <v>160</v>
      </c>
      <c r="P660" s="25" t="s">
        <v>704</v>
      </c>
    </row>
    <row r="661" spans="1:16" s="28" customFormat="1" x14ac:dyDescent="0.25">
      <c r="A661" s="28" t="s">
        <v>27</v>
      </c>
      <c r="B661" s="25" t="s">
        <v>36</v>
      </c>
      <c r="C661" s="25">
        <v>7500</v>
      </c>
      <c r="D661" s="30">
        <v>137</v>
      </c>
      <c r="E661" s="28">
        <f t="shared" si="44"/>
        <v>0.10500000000000001</v>
      </c>
      <c r="F661" s="28">
        <v>80</v>
      </c>
      <c r="G661" s="28">
        <v>25</v>
      </c>
      <c r="H661" s="28">
        <v>150</v>
      </c>
      <c r="I661" s="28">
        <f t="shared" si="46"/>
        <v>137</v>
      </c>
      <c r="J661" s="28">
        <f t="shared" si="47"/>
        <v>137</v>
      </c>
      <c r="K661" s="29">
        <f t="shared" si="45"/>
        <v>317</v>
      </c>
      <c r="L661" s="24">
        <v>75000</v>
      </c>
      <c r="M661" s="3">
        <v>98000</v>
      </c>
      <c r="N661" s="28">
        <v>160</v>
      </c>
      <c r="P661" s="25" t="s">
        <v>705</v>
      </c>
    </row>
    <row r="662" spans="1:16" s="28" customFormat="1" x14ac:dyDescent="0.25">
      <c r="A662" s="28" t="s">
        <v>27</v>
      </c>
      <c r="B662" s="25" t="s">
        <v>36</v>
      </c>
      <c r="C662" s="25">
        <v>7500</v>
      </c>
      <c r="D662" s="30">
        <v>138</v>
      </c>
      <c r="E662" s="28">
        <f t="shared" ref="E662:E684" si="48">AVERAGE(0.13,0.08)</f>
        <v>0.10500000000000001</v>
      </c>
      <c r="F662" s="28">
        <v>80</v>
      </c>
      <c r="G662" s="28">
        <v>25</v>
      </c>
      <c r="H662" s="28">
        <v>150</v>
      </c>
      <c r="I662" s="28">
        <f t="shared" si="46"/>
        <v>138</v>
      </c>
      <c r="J662" s="28">
        <f t="shared" si="47"/>
        <v>138</v>
      </c>
      <c r="K662" s="29">
        <f t="shared" si="45"/>
        <v>318</v>
      </c>
      <c r="L662" s="24">
        <v>75000</v>
      </c>
      <c r="M662" s="3">
        <v>98000</v>
      </c>
      <c r="N662" s="28">
        <v>160</v>
      </c>
      <c r="P662" s="25" t="s">
        <v>706</v>
      </c>
    </row>
    <row r="663" spans="1:16" s="28" customFormat="1" x14ac:dyDescent="0.25">
      <c r="A663" s="28" t="s">
        <v>27</v>
      </c>
      <c r="B663" s="25" t="s">
        <v>36</v>
      </c>
      <c r="C663" s="25">
        <v>7500</v>
      </c>
      <c r="D663" s="28">
        <v>139</v>
      </c>
      <c r="E663" s="28">
        <f t="shared" si="48"/>
        <v>0.10500000000000001</v>
      </c>
      <c r="F663" s="28">
        <v>80</v>
      </c>
      <c r="G663" s="28">
        <v>25</v>
      </c>
      <c r="H663" s="28">
        <v>150</v>
      </c>
      <c r="I663" s="28">
        <f t="shared" si="46"/>
        <v>139</v>
      </c>
      <c r="J663" s="28">
        <f t="shared" si="47"/>
        <v>139</v>
      </c>
      <c r="K663" s="29">
        <f t="shared" ref="K663:K684" si="49">180+D663</f>
        <v>319</v>
      </c>
      <c r="L663" s="24">
        <v>75000</v>
      </c>
      <c r="M663" s="3">
        <v>98000</v>
      </c>
      <c r="N663" s="28">
        <v>160</v>
      </c>
      <c r="P663" s="25" t="s">
        <v>707</v>
      </c>
    </row>
    <row r="664" spans="1:16" s="28" customFormat="1" x14ac:dyDescent="0.25">
      <c r="A664" s="28" t="s">
        <v>27</v>
      </c>
      <c r="B664" s="25" t="s">
        <v>36</v>
      </c>
      <c r="C664" s="25">
        <v>7500</v>
      </c>
      <c r="D664" s="30">
        <v>140</v>
      </c>
      <c r="E664" s="28">
        <f t="shared" si="48"/>
        <v>0.10500000000000001</v>
      </c>
      <c r="F664" s="28">
        <v>80</v>
      </c>
      <c r="G664" s="28">
        <v>25</v>
      </c>
      <c r="H664" s="28">
        <v>150</v>
      </c>
      <c r="I664" s="28">
        <f t="shared" si="46"/>
        <v>140</v>
      </c>
      <c r="J664" s="28">
        <f t="shared" si="47"/>
        <v>140</v>
      </c>
      <c r="K664" s="29">
        <f t="shared" si="49"/>
        <v>320</v>
      </c>
      <c r="L664" s="24">
        <v>75000</v>
      </c>
      <c r="M664" s="3">
        <v>98000</v>
      </c>
      <c r="N664" s="28">
        <v>160</v>
      </c>
      <c r="P664" s="25" t="s">
        <v>708</v>
      </c>
    </row>
    <row r="665" spans="1:16" s="28" customFormat="1" x14ac:dyDescent="0.25">
      <c r="A665" s="28" t="s">
        <v>27</v>
      </c>
      <c r="B665" s="25" t="s">
        <v>36</v>
      </c>
      <c r="C665" s="25">
        <v>7500</v>
      </c>
      <c r="D665" s="30">
        <v>141</v>
      </c>
      <c r="E665" s="28">
        <f t="shared" si="48"/>
        <v>0.10500000000000001</v>
      </c>
      <c r="F665" s="28">
        <v>80</v>
      </c>
      <c r="G665" s="28">
        <v>25</v>
      </c>
      <c r="H665" s="28">
        <v>150</v>
      </c>
      <c r="I665" s="28">
        <f t="shared" si="46"/>
        <v>141</v>
      </c>
      <c r="J665" s="28">
        <f t="shared" si="47"/>
        <v>141</v>
      </c>
      <c r="K665" s="29">
        <f t="shared" si="49"/>
        <v>321</v>
      </c>
      <c r="L665" s="24">
        <v>75000</v>
      </c>
      <c r="M665" s="3">
        <v>98000</v>
      </c>
      <c r="N665" s="28">
        <v>160</v>
      </c>
      <c r="P665" s="25" t="s">
        <v>709</v>
      </c>
    </row>
    <row r="666" spans="1:16" s="28" customFormat="1" x14ac:dyDescent="0.25">
      <c r="A666" s="28" t="s">
        <v>27</v>
      </c>
      <c r="B666" s="25" t="s">
        <v>36</v>
      </c>
      <c r="C666" s="25">
        <v>7500</v>
      </c>
      <c r="D666" s="28">
        <v>142</v>
      </c>
      <c r="E666" s="28">
        <f t="shared" si="48"/>
        <v>0.10500000000000001</v>
      </c>
      <c r="F666" s="28">
        <v>80</v>
      </c>
      <c r="G666" s="28">
        <v>25</v>
      </c>
      <c r="H666" s="28">
        <v>150</v>
      </c>
      <c r="I666" s="28">
        <f t="shared" si="46"/>
        <v>142</v>
      </c>
      <c r="J666" s="28">
        <f t="shared" si="47"/>
        <v>142</v>
      </c>
      <c r="K666" s="29">
        <f t="shared" si="49"/>
        <v>322</v>
      </c>
      <c r="L666" s="24">
        <v>75000</v>
      </c>
      <c r="M666" s="3">
        <v>98000</v>
      </c>
      <c r="N666" s="28">
        <v>160</v>
      </c>
      <c r="P666" s="25" t="s">
        <v>710</v>
      </c>
    </row>
    <row r="667" spans="1:16" s="28" customFormat="1" x14ac:dyDescent="0.25">
      <c r="A667" s="28" t="s">
        <v>27</v>
      </c>
      <c r="B667" s="25" t="s">
        <v>36</v>
      </c>
      <c r="C667" s="25">
        <v>7500</v>
      </c>
      <c r="D667" s="30">
        <v>143</v>
      </c>
      <c r="E667" s="28">
        <f t="shared" si="48"/>
        <v>0.10500000000000001</v>
      </c>
      <c r="F667" s="28">
        <v>80</v>
      </c>
      <c r="G667" s="28">
        <v>25</v>
      </c>
      <c r="H667" s="28">
        <v>150</v>
      </c>
      <c r="I667" s="28">
        <f t="shared" si="46"/>
        <v>143</v>
      </c>
      <c r="J667" s="28">
        <f t="shared" si="47"/>
        <v>143</v>
      </c>
      <c r="K667" s="29">
        <f t="shared" si="49"/>
        <v>323</v>
      </c>
      <c r="L667" s="24">
        <v>75000</v>
      </c>
      <c r="M667" s="3">
        <v>98000</v>
      </c>
      <c r="N667" s="28">
        <v>160</v>
      </c>
      <c r="P667" s="25" t="s">
        <v>711</v>
      </c>
    </row>
    <row r="668" spans="1:16" s="28" customFormat="1" x14ac:dyDescent="0.25">
      <c r="A668" s="28" t="s">
        <v>27</v>
      </c>
      <c r="B668" s="25" t="s">
        <v>36</v>
      </c>
      <c r="C668" s="25">
        <v>7500</v>
      </c>
      <c r="D668" s="30">
        <v>144</v>
      </c>
      <c r="E668" s="28">
        <f t="shared" si="48"/>
        <v>0.10500000000000001</v>
      </c>
      <c r="F668" s="28">
        <v>80</v>
      </c>
      <c r="G668" s="28">
        <v>25</v>
      </c>
      <c r="H668" s="28">
        <v>150</v>
      </c>
      <c r="I668" s="28">
        <f t="shared" si="46"/>
        <v>144</v>
      </c>
      <c r="J668" s="28">
        <f t="shared" si="47"/>
        <v>144</v>
      </c>
      <c r="K668" s="29">
        <f t="shared" si="49"/>
        <v>324</v>
      </c>
      <c r="L668" s="24">
        <v>75000</v>
      </c>
      <c r="M668" s="3">
        <v>98000</v>
      </c>
      <c r="N668" s="28">
        <v>160</v>
      </c>
      <c r="P668" s="25" t="s">
        <v>712</v>
      </c>
    </row>
    <row r="669" spans="1:16" s="28" customFormat="1" x14ac:dyDescent="0.25">
      <c r="A669" s="28" t="s">
        <v>27</v>
      </c>
      <c r="B669" s="25" t="s">
        <v>36</v>
      </c>
      <c r="C669" s="25">
        <v>7500</v>
      </c>
      <c r="D669" s="28">
        <v>145</v>
      </c>
      <c r="E669" s="28">
        <f t="shared" si="48"/>
        <v>0.10500000000000001</v>
      </c>
      <c r="F669" s="28">
        <v>80</v>
      </c>
      <c r="G669" s="28">
        <v>25</v>
      </c>
      <c r="H669" s="28">
        <v>150</v>
      </c>
      <c r="I669" s="28">
        <f t="shared" si="46"/>
        <v>145</v>
      </c>
      <c r="J669" s="28">
        <f t="shared" si="47"/>
        <v>145</v>
      </c>
      <c r="K669" s="29">
        <f t="shared" si="49"/>
        <v>325</v>
      </c>
      <c r="L669" s="24">
        <v>75000</v>
      </c>
      <c r="M669" s="3">
        <v>98000</v>
      </c>
      <c r="N669" s="28">
        <v>160</v>
      </c>
      <c r="P669" s="25" t="s">
        <v>713</v>
      </c>
    </row>
    <row r="670" spans="1:16" s="28" customFormat="1" x14ac:dyDescent="0.25">
      <c r="A670" s="28" t="s">
        <v>27</v>
      </c>
      <c r="B670" s="25" t="s">
        <v>36</v>
      </c>
      <c r="C670" s="25">
        <v>7500</v>
      </c>
      <c r="D670" s="30">
        <v>146</v>
      </c>
      <c r="E670" s="28">
        <f t="shared" si="48"/>
        <v>0.10500000000000001</v>
      </c>
      <c r="F670" s="28">
        <v>80</v>
      </c>
      <c r="G670" s="28">
        <v>25</v>
      </c>
      <c r="H670" s="28">
        <v>150</v>
      </c>
      <c r="I670" s="28">
        <f t="shared" si="46"/>
        <v>146</v>
      </c>
      <c r="J670" s="28">
        <f t="shared" si="47"/>
        <v>146</v>
      </c>
      <c r="K670" s="29">
        <f t="shared" si="49"/>
        <v>326</v>
      </c>
      <c r="L670" s="24">
        <v>75000</v>
      </c>
      <c r="M670" s="3">
        <v>98000</v>
      </c>
      <c r="N670" s="28">
        <v>160</v>
      </c>
      <c r="P670" s="25" t="s">
        <v>714</v>
      </c>
    </row>
    <row r="671" spans="1:16" s="28" customFormat="1" x14ac:dyDescent="0.25">
      <c r="A671" s="28" t="s">
        <v>27</v>
      </c>
      <c r="B671" s="25" t="s">
        <v>36</v>
      </c>
      <c r="C671" s="25">
        <v>7500</v>
      </c>
      <c r="D671" s="30">
        <v>147</v>
      </c>
      <c r="E671" s="28">
        <f t="shared" si="48"/>
        <v>0.10500000000000001</v>
      </c>
      <c r="F671" s="28">
        <v>80</v>
      </c>
      <c r="G671" s="28">
        <v>25</v>
      </c>
      <c r="H671" s="28">
        <v>150</v>
      </c>
      <c r="I671" s="28">
        <f t="shared" si="46"/>
        <v>147</v>
      </c>
      <c r="J671" s="28">
        <f t="shared" si="47"/>
        <v>147</v>
      </c>
      <c r="K671" s="29">
        <f t="shared" si="49"/>
        <v>327</v>
      </c>
      <c r="L671" s="24">
        <v>75000</v>
      </c>
      <c r="M671" s="3">
        <v>98000</v>
      </c>
      <c r="N671" s="28">
        <v>160</v>
      </c>
      <c r="P671" s="25" t="s">
        <v>715</v>
      </c>
    </row>
    <row r="672" spans="1:16" s="28" customFormat="1" x14ac:dyDescent="0.25">
      <c r="A672" s="28" t="s">
        <v>27</v>
      </c>
      <c r="B672" s="25" t="s">
        <v>36</v>
      </c>
      <c r="C672" s="25">
        <v>7500</v>
      </c>
      <c r="D672" s="28">
        <v>148</v>
      </c>
      <c r="E672" s="28">
        <f t="shared" si="48"/>
        <v>0.10500000000000001</v>
      </c>
      <c r="F672" s="28">
        <v>80</v>
      </c>
      <c r="G672" s="28">
        <v>25</v>
      </c>
      <c r="H672" s="28">
        <v>150</v>
      </c>
      <c r="I672" s="28">
        <f t="shared" si="46"/>
        <v>148</v>
      </c>
      <c r="J672" s="28">
        <f t="shared" si="47"/>
        <v>148</v>
      </c>
      <c r="K672" s="29">
        <f t="shared" si="49"/>
        <v>328</v>
      </c>
      <c r="L672" s="24">
        <v>75000</v>
      </c>
      <c r="M672" s="3">
        <v>98000</v>
      </c>
      <c r="N672" s="28">
        <v>160</v>
      </c>
      <c r="P672" s="25" t="s">
        <v>716</v>
      </c>
    </row>
    <row r="673" spans="1:16" s="28" customFormat="1" x14ac:dyDescent="0.25">
      <c r="A673" s="28" t="s">
        <v>27</v>
      </c>
      <c r="B673" s="25" t="s">
        <v>36</v>
      </c>
      <c r="C673" s="25">
        <v>7500</v>
      </c>
      <c r="D673" s="30">
        <v>149</v>
      </c>
      <c r="E673" s="28">
        <f t="shared" si="48"/>
        <v>0.10500000000000001</v>
      </c>
      <c r="F673" s="28">
        <v>80</v>
      </c>
      <c r="G673" s="28">
        <v>25</v>
      </c>
      <c r="H673" s="28">
        <v>150</v>
      </c>
      <c r="I673" s="28">
        <f t="shared" si="46"/>
        <v>149</v>
      </c>
      <c r="J673" s="28">
        <f t="shared" si="47"/>
        <v>149</v>
      </c>
      <c r="K673" s="29">
        <f t="shared" si="49"/>
        <v>329</v>
      </c>
      <c r="L673" s="24">
        <v>75000</v>
      </c>
      <c r="M673" s="3">
        <v>98000</v>
      </c>
      <c r="N673" s="28">
        <v>160</v>
      </c>
      <c r="P673" s="25" t="s">
        <v>717</v>
      </c>
    </row>
    <row r="674" spans="1:16" s="28" customFormat="1" x14ac:dyDescent="0.25">
      <c r="A674" s="28" t="s">
        <v>27</v>
      </c>
      <c r="B674" s="25" t="s">
        <v>36</v>
      </c>
      <c r="C674" s="25">
        <v>7500</v>
      </c>
      <c r="D674" s="30">
        <v>150</v>
      </c>
      <c r="E674" s="28">
        <f t="shared" si="48"/>
        <v>0.10500000000000001</v>
      </c>
      <c r="F674" s="28">
        <v>80</v>
      </c>
      <c r="G674" s="28">
        <v>25</v>
      </c>
      <c r="H674" s="28">
        <v>150</v>
      </c>
      <c r="I674" s="28">
        <f t="shared" si="46"/>
        <v>150</v>
      </c>
      <c r="J674" s="28">
        <f t="shared" si="47"/>
        <v>150</v>
      </c>
      <c r="K674" s="29">
        <f t="shared" si="49"/>
        <v>330</v>
      </c>
      <c r="L674" s="24">
        <v>75000</v>
      </c>
      <c r="M674" s="3">
        <v>98000</v>
      </c>
      <c r="N674" s="28">
        <v>160</v>
      </c>
      <c r="P674" s="25" t="s">
        <v>718</v>
      </c>
    </row>
    <row r="675" spans="1:16" s="28" customFormat="1" x14ac:dyDescent="0.25">
      <c r="A675" s="28" t="s">
        <v>27</v>
      </c>
      <c r="B675" s="25" t="s">
        <v>36</v>
      </c>
      <c r="C675" s="25">
        <v>7500</v>
      </c>
      <c r="D675" s="28">
        <v>151</v>
      </c>
      <c r="E675" s="28">
        <f t="shared" si="48"/>
        <v>0.10500000000000001</v>
      </c>
      <c r="F675" s="28">
        <v>80</v>
      </c>
      <c r="G675" s="28">
        <v>25</v>
      </c>
      <c r="H675" s="28">
        <v>150</v>
      </c>
      <c r="I675" s="28">
        <f t="shared" si="46"/>
        <v>151</v>
      </c>
      <c r="J675" s="28">
        <f t="shared" si="47"/>
        <v>151</v>
      </c>
      <c r="K675" s="29">
        <f t="shared" si="49"/>
        <v>331</v>
      </c>
      <c r="L675" s="24">
        <v>75000</v>
      </c>
      <c r="M675" s="3">
        <v>98000</v>
      </c>
      <c r="N675" s="28">
        <v>160</v>
      </c>
      <c r="P675" s="25" t="s">
        <v>719</v>
      </c>
    </row>
    <row r="676" spans="1:16" s="28" customFormat="1" x14ac:dyDescent="0.25">
      <c r="A676" s="28" t="s">
        <v>27</v>
      </c>
      <c r="B676" s="25" t="s">
        <v>36</v>
      </c>
      <c r="C676" s="25">
        <v>7500</v>
      </c>
      <c r="D676" s="30">
        <v>152</v>
      </c>
      <c r="E676" s="28">
        <f t="shared" si="48"/>
        <v>0.10500000000000001</v>
      </c>
      <c r="F676" s="28">
        <v>80</v>
      </c>
      <c r="G676" s="28">
        <v>25</v>
      </c>
      <c r="H676" s="28">
        <v>150</v>
      </c>
      <c r="I676" s="28">
        <f t="shared" si="46"/>
        <v>152</v>
      </c>
      <c r="J676" s="28">
        <f t="shared" si="47"/>
        <v>152</v>
      </c>
      <c r="K676" s="29">
        <f t="shared" si="49"/>
        <v>332</v>
      </c>
      <c r="L676" s="24">
        <v>75000</v>
      </c>
      <c r="M676" s="3">
        <v>98000</v>
      </c>
      <c r="N676" s="28">
        <v>160</v>
      </c>
      <c r="P676" s="25" t="s">
        <v>720</v>
      </c>
    </row>
    <row r="677" spans="1:16" s="28" customFormat="1" x14ac:dyDescent="0.25">
      <c r="A677" s="28" t="s">
        <v>27</v>
      </c>
      <c r="B677" s="25" t="s">
        <v>36</v>
      </c>
      <c r="C677" s="25">
        <v>7500</v>
      </c>
      <c r="D677" s="30">
        <v>153</v>
      </c>
      <c r="E677" s="28">
        <f t="shared" si="48"/>
        <v>0.10500000000000001</v>
      </c>
      <c r="F677" s="28">
        <v>80</v>
      </c>
      <c r="G677" s="28">
        <v>25</v>
      </c>
      <c r="H677" s="28">
        <v>150</v>
      </c>
      <c r="I677" s="28">
        <f t="shared" si="46"/>
        <v>153</v>
      </c>
      <c r="J677" s="28">
        <f t="shared" si="47"/>
        <v>153</v>
      </c>
      <c r="K677" s="29">
        <f t="shared" si="49"/>
        <v>333</v>
      </c>
      <c r="L677" s="24">
        <v>75000</v>
      </c>
      <c r="M677" s="3">
        <v>98000</v>
      </c>
      <c r="N677" s="28">
        <v>160</v>
      </c>
      <c r="P677" s="25" t="s">
        <v>721</v>
      </c>
    </row>
    <row r="678" spans="1:16" s="28" customFormat="1" x14ac:dyDescent="0.25">
      <c r="A678" s="28" t="s">
        <v>27</v>
      </c>
      <c r="B678" s="25" t="s">
        <v>36</v>
      </c>
      <c r="C678" s="25">
        <v>7500</v>
      </c>
      <c r="D678" s="28">
        <v>154</v>
      </c>
      <c r="E678" s="28">
        <f t="shared" si="48"/>
        <v>0.10500000000000001</v>
      </c>
      <c r="F678" s="28">
        <v>80</v>
      </c>
      <c r="G678" s="28">
        <v>25</v>
      </c>
      <c r="H678" s="28">
        <v>150</v>
      </c>
      <c r="I678" s="28">
        <f t="shared" si="46"/>
        <v>154</v>
      </c>
      <c r="J678" s="28">
        <f t="shared" si="47"/>
        <v>154</v>
      </c>
      <c r="K678" s="29">
        <f t="shared" si="49"/>
        <v>334</v>
      </c>
      <c r="L678" s="24">
        <v>75000</v>
      </c>
      <c r="M678" s="3">
        <v>98000</v>
      </c>
      <c r="N678" s="28">
        <v>160</v>
      </c>
      <c r="P678" s="25" t="s">
        <v>722</v>
      </c>
    </row>
    <row r="679" spans="1:16" s="28" customFormat="1" x14ac:dyDescent="0.25">
      <c r="A679" s="28" t="s">
        <v>27</v>
      </c>
      <c r="B679" s="25" t="s">
        <v>36</v>
      </c>
      <c r="C679" s="25">
        <v>7500</v>
      </c>
      <c r="D679" s="30">
        <v>155</v>
      </c>
      <c r="E679" s="28">
        <f t="shared" si="48"/>
        <v>0.10500000000000001</v>
      </c>
      <c r="F679" s="28">
        <v>80</v>
      </c>
      <c r="G679" s="28">
        <v>25</v>
      </c>
      <c r="H679" s="28">
        <v>150</v>
      </c>
      <c r="I679" s="28">
        <f t="shared" si="46"/>
        <v>155</v>
      </c>
      <c r="J679" s="28">
        <f t="shared" si="47"/>
        <v>155</v>
      </c>
      <c r="K679" s="29">
        <f t="shared" si="49"/>
        <v>335</v>
      </c>
      <c r="L679" s="24">
        <v>75000</v>
      </c>
      <c r="M679" s="3">
        <v>98000</v>
      </c>
      <c r="N679" s="28">
        <v>160</v>
      </c>
      <c r="P679" s="25" t="s">
        <v>723</v>
      </c>
    </row>
    <row r="680" spans="1:16" s="28" customFormat="1" x14ac:dyDescent="0.25">
      <c r="A680" s="28" t="s">
        <v>27</v>
      </c>
      <c r="B680" s="25" t="s">
        <v>36</v>
      </c>
      <c r="C680" s="25">
        <v>7500</v>
      </c>
      <c r="D680" s="30">
        <v>156</v>
      </c>
      <c r="E680" s="28">
        <f t="shared" si="48"/>
        <v>0.10500000000000001</v>
      </c>
      <c r="F680" s="28">
        <v>80</v>
      </c>
      <c r="G680" s="28">
        <v>25</v>
      </c>
      <c r="H680" s="28">
        <v>150</v>
      </c>
      <c r="I680" s="28">
        <f t="shared" si="46"/>
        <v>156</v>
      </c>
      <c r="J680" s="28">
        <f t="shared" si="47"/>
        <v>156</v>
      </c>
      <c r="K680" s="29">
        <f t="shared" si="49"/>
        <v>336</v>
      </c>
      <c r="L680" s="24">
        <v>75000</v>
      </c>
      <c r="M680" s="3">
        <v>98000</v>
      </c>
      <c r="N680" s="28">
        <v>160</v>
      </c>
      <c r="P680" s="25" t="s">
        <v>724</v>
      </c>
    </row>
    <row r="681" spans="1:16" s="28" customFormat="1" x14ac:dyDescent="0.25">
      <c r="A681" s="28" t="s">
        <v>27</v>
      </c>
      <c r="B681" s="25" t="s">
        <v>36</v>
      </c>
      <c r="C681" s="25">
        <v>7500</v>
      </c>
      <c r="D681" s="28">
        <v>157</v>
      </c>
      <c r="E681" s="28">
        <f t="shared" si="48"/>
        <v>0.10500000000000001</v>
      </c>
      <c r="F681" s="28">
        <v>80</v>
      </c>
      <c r="G681" s="28">
        <v>25</v>
      </c>
      <c r="H681" s="28">
        <v>150</v>
      </c>
      <c r="I681" s="28">
        <f t="shared" si="46"/>
        <v>157</v>
      </c>
      <c r="J681" s="28">
        <f t="shared" si="47"/>
        <v>157</v>
      </c>
      <c r="K681" s="29">
        <f t="shared" si="49"/>
        <v>337</v>
      </c>
      <c r="L681" s="24">
        <v>75000</v>
      </c>
      <c r="M681" s="3">
        <v>98000</v>
      </c>
      <c r="N681" s="28">
        <v>160</v>
      </c>
      <c r="P681" s="25" t="s">
        <v>725</v>
      </c>
    </row>
    <row r="682" spans="1:16" s="28" customFormat="1" x14ac:dyDescent="0.25">
      <c r="A682" s="28" t="s">
        <v>27</v>
      </c>
      <c r="B682" s="25" t="s">
        <v>36</v>
      </c>
      <c r="C682" s="25">
        <v>7500</v>
      </c>
      <c r="D682" s="30">
        <v>158</v>
      </c>
      <c r="E682" s="28">
        <f t="shared" si="48"/>
        <v>0.10500000000000001</v>
      </c>
      <c r="F682" s="28">
        <v>80</v>
      </c>
      <c r="G682" s="28">
        <v>25</v>
      </c>
      <c r="H682" s="28">
        <v>150</v>
      </c>
      <c r="I682" s="28">
        <f t="shared" si="46"/>
        <v>158</v>
      </c>
      <c r="J682" s="28">
        <f t="shared" si="47"/>
        <v>158</v>
      </c>
      <c r="K682" s="29">
        <f t="shared" si="49"/>
        <v>338</v>
      </c>
      <c r="L682" s="24">
        <v>75000</v>
      </c>
      <c r="M682" s="3">
        <v>98000</v>
      </c>
      <c r="N682" s="28">
        <v>160</v>
      </c>
      <c r="P682" s="25" t="s">
        <v>726</v>
      </c>
    </row>
    <row r="683" spans="1:16" s="28" customFormat="1" x14ac:dyDescent="0.25">
      <c r="A683" s="28" t="s">
        <v>27</v>
      </c>
      <c r="B683" s="25" t="s">
        <v>36</v>
      </c>
      <c r="C683" s="25">
        <v>7500</v>
      </c>
      <c r="D683" s="30">
        <v>159</v>
      </c>
      <c r="E683" s="28">
        <f t="shared" si="48"/>
        <v>0.10500000000000001</v>
      </c>
      <c r="F683" s="28">
        <v>80</v>
      </c>
      <c r="G683" s="28">
        <v>25</v>
      </c>
      <c r="H683" s="28">
        <v>150</v>
      </c>
      <c r="I683" s="28">
        <f t="shared" si="46"/>
        <v>159</v>
      </c>
      <c r="J683" s="28">
        <f t="shared" si="47"/>
        <v>159</v>
      </c>
      <c r="K683" s="29">
        <f t="shared" si="49"/>
        <v>339</v>
      </c>
      <c r="L683" s="24">
        <v>75000</v>
      </c>
      <c r="M683" s="3">
        <v>98000</v>
      </c>
      <c r="N683" s="28">
        <v>160</v>
      </c>
      <c r="P683" s="25" t="s">
        <v>727</v>
      </c>
    </row>
    <row r="684" spans="1:16" s="28" customFormat="1" x14ac:dyDescent="0.25">
      <c r="A684" s="28" t="s">
        <v>27</v>
      </c>
      <c r="B684" s="25" t="s">
        <v>36</v>
      </c>
      <c r="C684" s="25">
        <v>7500</v>
      </c>
      <c r="D684" s="28">
        <v>160</v>
      </c>
      <c r="E684" s="28">
        <f t="shared" si="48"/>
        <v>0.10500000000000001</v>
      </c>
      <c r="F684" s="28">
        <v>80</v>
      </c>
      <c r="G684" s="28">
        <v>25</v>
      </c>
      <c r="H684" s="28">
        <v>150</v>
      </c>
      <c r="I684" s="28">
        <f t="shared" si="46"/>
        <v>160</v>
      </c>
      <c r="J684" s="28">
        <f t="shared" si="47"/>
        <v>160</v>
      </c>
      <c r="K684" s="29">
        <f t="shared" si="49"/>
        <v>340</v>
      </c>
      <c r="L684" s="24">
        <v>75000</v>
      </c>
      <c r="M684" s="3">
        <v>98000</v>
      </c>
      <c r="N684" s="28">
        <v>160</v>
      </c>
      <c r="P684" s="25" t="s">
        <v>728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4"/>
  <dimension ref="A3:J19"/>
  <sheetViews>
    <sheetView workbookViewId="0">
      <selection activeCell="J21" sqref="J21"/>
    </sheetView>
  </sheetViews>
  <sheetFormatPr defaultRowHeight="15" x14ac:dyDescent="0.25"/>
  <cols>
    <col min="1" max="1" width="16.140625" customWidth="1"/>
    <col min="2" max="2" width="11.42578125" bestFit="1" customWidth="1"/>
    <col min="9" max="9" width="16.42578125" customWidth="1"/>
    <col min="10" max="10" width="20.7109375" customWidth="1"/>
  </cols>
  <sheetData>
    <row r="3" spans="1:10" x14ac:dyDescent="0.25">
      <c r="A3" t="s">
        <v>113</v>
      </c>
      <c r="B3">
        <v>1</v>
      </c>
      <c r="C3">
        <v>2</v>
      </c>
      <c r="D3">
        <v>4</v>
      </c>
      <c r="E3">
        <v>8</v>
      </c>
      <c r="I3" s="31" t="s">
        <v>115</v>
      </c>
      <c r="J3" s="31">
        <f ca="1">VLOOKUP(Stroke_adjustment,Adjustment,2)</f>
        <v>0</v>
      </c>
    </row>
    <row r="4" spans="1:10" x14ac:dyDescent="0.25">
      <c r="A4">
        <v>-8</v>
      </c>
      <c r="B4">
        <v>1</v>
      </c>
      <c r="C4">
        <v>1</v>
      </c>
      <c r="D4">
        <v>1</v>
      </c>
      <c r="E4">
        <v>1</v>
      </c>
      <c r="I4" s="31" t="s">
        <v>116</v>
      </c>
      <c r="J4" s="31">
        <f ca="1">VLOOKUP(Stroke_adjustment,Adjustment,3)</f>
        <v>0</v>
      </c>
    </row>
    <row r="5" spans="1:10" x14ac:dyDescent="0.25">
      <c r="A5">
        <v>-7</v>
      </c>
      <c r="B5">
        <v>0</v>
      </c>
      <c r="C5">
        <v>1</v>
      </c>
      <c r="D5">
        <v>1</v>
      </c>
      <c r="E5">
        <v>1</v>
      </c>
      <c r="I5" s="31" t="s">
        <v>117</v>
      </c>
      <c r="J5" s="31">
        <f ca="1">VLOOKUP(Stroke_adjustment,Adjustment,4)</f>
        <v>1</v>
      </c>
    </row>
    <row r="6" spans="1:10" x14ac:dyDescent="0.25">
      <c r="A6">
        <v>-6</v>
      </c>
      <c r="B6">
        <v>1</v>
      </c>
      <c r="C6">
        <v>0</v>
      </c>
      <c r="D6">
        <v>1</v>
      </c>
      <c r="E6">
        <v>1</v>
      </c>
      <c r="I6" s="31" t="s">
        <v>118</v>
      </c>
      <c r="J6" s="31">
        <f ca="1">VLOOKUP(Stroke_adjustment,Adjustment,5)</f>
        <v>1</v>
      </c>
    </row>
    <row r="7" spans="1:10" x14ac:dyDescent="0.25">
      <c r="A7">
        <v>-5</v>
      </c>
      <c r="B7">
        <v>0</v>
      </c>
      <c r="C7">
        <v>0</v>
      </c>
      <c r="D7">
        <v>1</v>
      </c>
      <c r="E7">
        <v>1</v>
      </c>
    </row>
    <row r="8" spans="1:10" x14ac:dyDescent="0.25">
      <c r="A8">
        <v>-4</v>
      </c>
      <c r="B8">
        <v>1</v>
      </c>
      <c r="C8">
        <v>1</v>
      </c>
      <c r="D8">
        <v>0</v>
      </c>
      <c r="E8">
        <v>1</v>
      </c>
    </row>
    <row r="9" spans="1:10" x14ac:dyDescent="0.25">
      <c r="A9">
        <v>-3</v>
      </c>
      <c r="B9">
        <v>0</v>
      </c>
      <c r="C9">
        <v>1</v>
      </c>
      <c r="D9">
        <v>0</v>
      </c>
      <c r="E9">
        <v>1</v>
      </c>
    </row>
    <row r="10" spans="1:10" x14ac:dyDescent="0.25">
      <c r="A10">
        <v>-2</v>
      </c>
      <c r="B10">
        <v>1</v>
      </c>
      <c r="C10">
        <v>0</v>
      </c>
      <c r="D10">
        <v>0</v>
      </c>
      <c r="E10">
        <v>1</v>
      </c>
    </row>
    <row r="11" spans="1:10" x14ac:dyDescent="0.25">
      <c r="A11">
        <v>-1</v>
      </c>
      <c r="B11">
        <v>0</v>
      </c>
      <c r="C11">
        <v>0</v>
      </c>
      <c r="D11">
        <v>0</v>
      </c>
      <c r="E11">
        <v>1</v>
      </c>
    </row>
    <row r="12" spans="1:10" x14ac:dyDescent="0.25">
      <c r="A12">
        <v>0</v>
      </c>
      <c r="B12">
        <v>1</v>
      </c>
      <c r="C12">
        <v>1</v>
      </c>
      <c r="D12">
        <v>1</v>
      </c>
      <c r="E12">
        <v>0</v>
      </c>
    </row>
    <row r="13" spans="1:10" x14ac:dyDescent="0.25">
      <c r="A13">
        <v>1</v>
      </c>
      <c r="B13">
        <v>0</v>
      </c>
      <c r="C13">
        <v>1</v>
      </c>
      <c r="D13">
        <v>1</v>
      </c>
      <c r="E13">
        <v>0</v>
      </c>
    </row>
    <row r="14" spans="1:10" x14ac:dyDescent="0.25">
      <c r="A14">
        <v>2</v>
      </c>
      <c r="B14">
        <v>1</v>
      </c>
      <c r="C14">
        <v>0</v>
      </c>
      <c r="D14">
        <v>1</v>
      </c>
      <c r="E14">
        <v>0</v>
      </c>
    </row>
    <row r="15" spans="1:10" x14ac:dyDescent="0.25">
      <c r="A15">
        <v>3</v>
      </c>
      <c r="B15">
        <v>0</v>
      </c>
      <c r="C15">
        <v>0</v>
      </c>
      <c r="D15">
        <v>1</v>
      </c>
      <c r="E15">
        <v>0</v>
      </c>
    </row>
    <row r="16" spans="1:10" x14ac:dyDescent="0.25">
      <c r="A16">
        <v>4</v>
      </c>
      <c r="B16">
        <v>1</v>
      </c>
      <c r="C16">
        <v>1</v>
      </c>
      <c r="D16">
        <v>0</v>
      </c>
      <c r="E16">
        <v>0</v>
      </c>
    </row>
    <row r="17" spans="1:5" x14ac:dyDescent="0.25">
      <c r="A17">
        <v>5</v>
      </c>
      <c r="B17">
        <v>0</v>
      </c>
      <c r="C17">
        <v>1</v>
      </c>
      <c r="D17">
        <v>0</v>
      </c>
      <c r="E17">
        <v>0</v>
      </c>
    </row>
    <row r="18" spans="1:5" x14ac:dyDescent="0.25">
      <c r="A18">
        <v>6</v>
      </c>
      <c r="B18">
        <v>1</v>
      </c>
      <c r="C18">
        <v>0</v>
      </c>
      <c r="D18">
        <v>0</v>
      </c>
      <c r="E18">
        <v>0</v>
      </c>
    </row>
    <row r="19" spans="1:5" x14ac:dyDescent="0.25">
      <c r="A19">
        <v>7</v>
      </c>
      <c r="B19">
        <v>0</v>
      </c>
      <c r="C19">
        <v>0</v>
      </c>
      <c r="D19">
        <v>0</v>
      </c>
      <c r="E19">
        <v>0</v>
      </c>
    </row>
  </sheetData>
  <sortState xmlns:xlrd2="http://schemas.microsoft.com/office/spreadsheetml/2017/richdata2" ref="A4:E19">
    <sortCondition ref="A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5"/>
  <dimension ref="C2:W98"/>
  <sheetViews>
    <sheetView topLeftCell="K1" zoomScale="80" zoomScaleNormal="80" workbookViewId="0">
      <selection activeCell="D53" sqref="D53"/>
    </sheetView>
  </sheetViews>
  <sheetFormatPr defaultRowHeight="15" x14ac:dyDescent="0.25"/>
  <cols>
    <col min="3" max="3" width="51.7109375" customWidth="1"/>
    <col min="4" max="4" width="40.85546875" customWidth="1"/>
    <col min="5" max="5" width="98.140625" customWidth="1"/>
    <col min="6" max="6" width="18.140625" customWidth="1"/>
    <col min="7" max="7" width="13.5703125" customWidth="1"/>
    <col min="8" max="8" width="14" customWidth="1"/>
    <col min="9" max="9" width="14.28515625" customWidth="1"/>
    <col min="10" max="10" width="38.42578125" customWidth="1"/>
    <col min="11" max="11" width="17.140625" customWidth="1"/>
    <col min="12" max="12" width="15.28515625" customWidth="1"/>
    <col min="13" max="13" width="28.7109375" customWidth="1"/>
    <col min="14" max="14" width="17.85546875" customWidth="1"/>
    <col min="15" max="16" width="21.28515625" customWidth="1"/>
    <col min="17" max="17" width="24.42578125" customWidth="1"/>
    <col min="18" max="18" width="26" customWidth="1"/>
    <col min="19" max="19" width="21.7109375" customWidth="1"/>
    <col min="20" max="20" width="11.5703125" bestFit="1" customWidth="1"/>
  </cols>
  <sheetData>
    <row r="2" spans="3:22" x14ac:dyDescent="0.25">
      <c r="D2" t="s">
        <v>830</v>
      </c>
      <c r="J2" t="s">
        <v>831</v>
      </c>
    </row>
    <row r="3" spans="3:22" x14ac:dyDescent="0.25">
      <c r="C3" s="2" t="s">
        <v>914</v>
      </c>
      <c r="D3" s="2"/>
      <c r="E3" s="118" t="s">
        <v>901</v>
      </c>
      <c r="F3" s="121" t="s">
        <v>123</v>
      </c>
      <c r="G3" s="122" t="s">
        <v>124</v>
      </c>
      <c r="H3" s="2"/>
      <c r="I3" s="2" t="s">
        <v>832</v>
      </c>
      <c r="J3" s="2" t="s">
        <v>122</v>
      </c>
      <c r="K3" s="2" t="s">
        <v>123</v>
      </c>
      <c r="L3" s="2" t="s">
        <v>124</v>
      </c>
      <c r="M3" s="2"/>
      <c r="N3" s="2"/>
    </row>
    <row r="4" spans="3:22" x14ac:dyDescent="0.25">
      <c r="C4">
        <v>380</v>
      </c>
      <c r="D4">
        <v>1500</v>
      </c>
      <c r="E4" s="116">
        <f ca="1">-0.2669*User_Used_Stroke_Length+422.71</f>
        <v>421.37549999999999</v>
      </c>
      <c r="F4" s="123">
        <f>2000*Temperature_Reducing_Factor</f>
        <v>2000</v>
      </c>
      <c r="G4" s="124">
        <f>3200*Temperature_Reducing_Factor</f>
        <v>3200</v>
      </c>
      <c r="H4" t="s">
        <v>827</v>
      </c>
      <c r="I4">
        <f>D4</f>
        <v>1500</v>
      </c>
      <c r="J4">
        <f t="shared" ref="J4:L7" ca="1" si="0">E4/$E$12</f>
        <v>421.37549999999999</v>
      </c>
      <c r="K4">
        <f t="shared" si="0"/>
        <v>2000</v>
      </c>
      <c r="L4">
        <f t="shared" si="0"/>
        <v>3200</v>
      </c>
      <c r="M4" s="54" t="s">
        <v>827</v>
      </c>
    </row>
    <row r="5" spans="3:22" x14ac:dyDescent="0.25">
      <c r="C5">
        <v>320</v>
      </c>
      <c r="D5">
        <v>3000</v>
      </c>
      <c r="E5" s="116">
        <f ca="1">-0.94*User_Used_Stroke_Length+374.02</f>
        <v>369.32</v>
      </c>
      <c r="F5" s="123">
        <f>1200*Temperature_Reducing_Factor</f>
        <v>1200</v>
      </c>
      <c r="G5" s="124">
        <f>2100*Temperature_Reducing_Factor</f>
        <v>2100</v>
      </c>
      <c r="H5" t="s">
        <v>827</v>
      </c>
      <c r="I5">
        <f t="shared" ref="I5:I7" si="1">D5</f>
        <v>3000</v>
      </c>
      <c r="J5">
        <f t="shared" ca="1" si="0"/>
        <v>369.32</v>
      </c>
      <c r="K5">
        <f t="shared" si="0"/>
        <v>1200</v>
      </c>
      <c r="L5">
        <f t="shared" si="0"/>
        <v>2100</v>
      </c>
      <c r="M5" s="54" t="s">
        <v>827</v>
      </c>
    </row>
    <row r="6" spans="3:22" x14ac:dyDescent="0.25">
      <c r="C6">
        <v>300</v>
      </c>
      <c r="D6">
        <v>5000</v>
      </c>
      <c r="E6" s="116">
        <f ca="1">-0.8882*User_Used_Stroke_Length+328.82</f>
        <v>324.37900000000002</v>
      </c>
      <c r="F6" s="123">
        <f>1100*Temperature_Reducing_Factor</f>
        <v>1100</v>
      </c>
      <c r="G6" s="124">
        <f>1500*Temperature_Reducing_Factor</f>
        <v>1500</v>
      </c>
      <c r="H6" t="s">
        <v>827</v>
      </c>
      <c r="I6">
        <f t="shared" si="1"/>
        <v>5000</v>
      </c>
      <c r="J6">
        <f t="shared" ca="1" si="0"/>
        <v>324.37900000000002</v>
      </c>
      <c r="K6">
        <f t="shared" si="0"/>
        <v>1100</v>
      </c>
      <c r="L6">
        <f t="shared" si="0"/>
        <v>1500</v>
      </c>
      <c r="M6" s="54" t="s">
        <v>827</v>
      </c>
    </row>
    <row r="7" spans="3:22" x14ac:dyDescent="0.25">
      <c r="C7">
        <v>280</v>
      </c>
      <c r="D7">
        <v>7500</v>
      </c>
      <c r="E7" s="116">
        <f ca="1">-0.8882*User_Used_Stroke_Length+308.82</f>
        <v>304.37900000000002</v>
      </c>
      <c r="F7" s="123">
        <f>1000*Temperature_Reducing_Factor</f>
        <v>1000</v>
      </c>
      <c r="G7" s="124">
        <f>1200*Temperature_Reducing_Factor</f>
        <v>1200</v>
      </c>
      <c r="H7" t="s">
        <v>827</v>
      </c>
      <c r="I7">
        <f t="shared" si="1"/>
        <v>7500</v>
      </c>
      <c r="J7">
        <f t="shared" ca="1" si="0"/>
        <v>304.37900000000002</v>
      </c>
      <c r="K7">
        <f t="shared" si="0"/>
        <v>1000</v>
      </c>
      <c r="L7">
        <f t="shared" si="0"/>
        <v>1200</v>
      </c>
      <c r="M7" s="54" t="s">
        <v>827</v>
      </c>
    </row>
    <row r="8" spans="3:22" x14ac:dyDescent="0.25">
      <c r="E8" s="117" t="s">
        <v>912</v>
      </c>
      <c r="F8" s="113" t="s">
        <v>915</v>
      </c>
      <c r="G8" s="115"/>
    </row>
    <row r="9" spans="3:22" x14ac:dyDescent="0.25">
      <c r="K9" s="53"/>
      <c r="L9" s="53"/>
      <c r="M9" s="53"/>
      <c r="Q9" t="str">
        <f>IF(Q4=1,"Liquid Cooler",IF(Q5=0,"","Nitro Cooler"))</f>
        <v/>
      </c>
    </row>
    <row r="10" spans="3:22" x14ac:dyDescent="0.25">
      <c r="L10" s="53"/>
      <c r="M10" s="53"/>
      <c r="N10" s="53"/>
      <c r="O10" s="53"/>
      <c r="S10" t="str">
        <f>IF(Q4=1,"Nitro Cooler","")</f>
        <v/>
      </c>
    </row>
    <row r="11" spans="3:22" x14ac:dyDescent="0.25">
      <c r="L11" t="s">
        <v>902</v>
      </c>
      <c r="M11" s="53"/>
      <c r="N11" s="53"/>
      <c r="O11" s="53"/>
      <c r="P11" s="53"/>
    </row>
    <row r="12" spans="3:22" x14ac:dyDescent="0.25">
      <c r="D12" t="s">
        <v>829</v>
      </c>
      <c r="E12">
        <f>User_Charge_Pressure/150</f>
        <v>1</v>
      </c>
      <c r="F12" t="s">
        <v>828</v>
      </c>
      <c r="L12" s="20" t="s">
        <v>120</v>
      </c>
      <c r="M12" s="20">
        <f ca="1">User_Strokes_per_Minute*User_Used_Stroke_Length</f>
        <v>50</v>
      </c>
      <c r="N12" s="20" t="s">
        <v>842</v>
      </c>
      <c r="O12" s="20"/>
      <c r="P12" s="20"/>
      <c r="Q12" s="1"/>
      <c r="R12" s="1"/>
    </row>
    <row r="13" spans="3:22" x14ac:dyDescent="0.25">
      <c r="D13" t="s">
        <v>835</v>
      </c>
      <c r="E13" s="33">
        <f ca="1">Total_Work_20</f>
        <v>90.299629294703934</v>
      </c>
      <c r="F13" t="s">
        <v>731</v>
      </c>
      <c r="L13" s="20" t="s">
        <v>841</v>
      </c>
      <c r="M13" s="98">
        <f ca="1">E20/1000</f>
        <v>1.8131836826524736E-2</v>
      </c>
      <c r="N13" s="20" t="s">
        <v>794</v>
      </c>
      <c r="O13" s="20"/>
      <c r="P13" s="20"/>
    </row>
    <row r="14" spans="3:22" x14ac:dyDescent="0.25">
      <c r="D14" t="s">
        <v>836</v>
      </c>
      <c r="E14" s="33">
        <f ca="1">Total_Work_80</f>
        <v>108.79102095914843</v>
      </c>
      <c r="F14" t="s">
        <v>731</v>
      </c>
      <c r="L14" s="20"/>
      <c r="M14" s="20"/>
      <c r="N14" s="20"/>
      <c r="O14" s="20"/>
      <c r="P14" s="20"/>
    </row>
    <row r="15" spans="3:22" x14ac:dyDescent="0.25">
      <c r="D15" t="s">
        <v>837</v>
      </c>
      <c r="E15">
        <f>60/User_Strokes_per_Minute</f>
        <v>6</v>
      </c>
      <c r="H15" s="62" t="s">
        <v>874</v>
      </c>
      <c r="I15" s="62" t="s">
        <v>873</v>
      </c>
      <c r="J15" s="62" t="s">
        <v>872</v>
      </c>
      <c r="K15" s="62" t="s">
        <v>871</v>
      </c>
      <c r="L15" s="20"/>
      <c r="M15" s="99" t="s">
        <v>834</v>
      </c>
      <c r="N15" s="20" t="s">
        <v>843</v>
      </c>
      <c r="O15" s="99" t="s">
        <v>833</v>
      </c>
      <c r="P15" s="20"/>
      <c r="V15" t="s">
        <v>882</v>
      </c>
    </row>
    <row r="16" spans="3:22" x14ac:dyDescent="0.25">
      <c r="H16">
        <v>1</v>
      </c>
      <c r="I16" s="31">
        <f ca="1">IF(Heat_Factor&lt;=$M16,1,0)</f>
        <v>1</v>
      </c>
      <c r="J16">
        <f ca="1">IF(I16=0," ",H16*I16)</f>
        <v>1</v>
      </c>
      <c r="K16" s="31">
        <f ca="1">IF(ISNUMBER(J16),RANK(J16,$J$16:$J$18,1),"")</f>
        <v>1</v>
      </c>
      <c r="L16" s="20" t="s">
        <v>844</v>
      </c>
      <c r="M16" s="102">
        <f ca="1">VLOOKUP(Force_Size,Heat_Factor_Matrix,2)</f>
        <v>421.37549999999999</v>
      </c>
      <c r="N16" s="100">
        <f ca="1">((M16/Heat_Factor)*$E$20)/1000</f>
        <v>0.15280623617390549</v>
      </c>
      <c r="O16" s="101">
        <f ca="1">Heat_Factor/M16</f>
        <v>0.11865901078729067</v>
      </c>
      <c r="P16" s="99" t="str">
        <f ca="1">IF(I16=1,"OK","Not OK")</f>
        <v>OK</v>
      </c>
      <c r="Q16" t="str">
        <f ca="1">IF(E30=0,"No Cooling Alternative",VLOOKUP(H16,$K$16:$L$18,2,FALSE))</f>
        <v>No cooling</v>
      </c>
      <c r="R16" t="str">
        <f ca="1">IFERROR(Q16," ")</f>
        <v>No cooling</v>
      </c>
      <c r="S16" t="str">
        <f ca="1">OFFSET(R15,V16,0,1,1)</f>
        <v>No cooling</v>
      </c>
      <c r="V16" s="22">
        <v>1</v>
      </c>
    </row>
    <row r="17" spans="4:23" x14ac:dyDescent="0.25">
      <c r="H17">
        <v>2</v>
      </c>
      <c r="I17" s="31">
        <f ca="1">IF(Heat_Factor&lt;=$M17,1,0)</f>
        <v>1</v>
      </c>
      <c r="J17">
        <f t="shared" ref="J17" ca="1" si="2">IF(I17=0," ",H17*I17)</f>
        <v>2</v>
      </c>
      <c r="K17" s="31">
        <f ca="1">IF(ISNUMBER(J17),RANK(J17,$J$16:$J$18,1),"")</f>
        <v>2</v>
      </c>
      <c r="L17" s="20" t="s">
        <v>123</v>
      </c>
      <c r="M17" s="99">
        <f>VLOOKUP(Force_Size,Heat_Factor_Matrix,3)</f>
        <v>2000</v>
      </c>
      <c r="N17" s="100">
        <f ca="1">((M17/Heat_Factor)*$E$20)/1000</f>
        <v>0.72527347306098944</v>
      </c>
      <c r="O17" s="101">
        <f ca="1">Heat_Factor/M17</f>
        <v>2.5000000000000001E-2</v>
      </c>
      <c r="P17" s="99" t="str">
        <f ca="1">IF(I17=1,"OK","Not OK")</f>
        <v>OK</v>
      </c>
      <c r="Q17" t="str">
        <f t="shared" ref="Q17:Q18" ca="1" si="3">VLOOKUP(H17,$K$16:$L$18,2,FALSE)</f>
        <v>Liquid Cooling</v>
      </c>
      <c r="R17" t="str">
        <f t="shared" ref="R17:R18" ca="1" si="4">IFERROR(Q17," ")</f>
        <v>Liquid Cooling</v>
      </c>
    </row>
    <row r="18" spans="4:23" x14ac:dyDescent="0.25">
      <c r="H18">
        <v>3</v>
      </c>
      <c r="I18" s="31">
        <f ca="1">IF(AND(Heat_Factor&lt;$M18,Ext_Cooling_per_spring&lt;=1.5),1,0)</f>
        <v>1</v>
      </c>
      <c r="J18">
        <f ca="1">IF(I18=0," ",H18*I18)</f>
        <v>3</v>
      </c>
      <c r="K18" s="31">
        <f ca="1">IF(ISNUMBER(J18),RANK(J18,$J$16:$J$18,1),"")</f>
        <v>3</v>
      </c>
      <c r="L18" s="20" t="s">
        <v>124</v>
      </c>
      <c r="M18" s="99">
        <f>VLOOKUP(Force_Size,Heat_Factor_Matrix,4)</f>
        <v>3200</v>
      </c>
      <c r="N18" s="100">
        <f ca="1">((M18/Heat_Factor)*$E$20)/1000</f>
        <v>1.1604375568975831</v>
      </c>
      <c r="O18" s="101">
        <f ca="1">Heat_Factor/M18</f>
        <v>1.5625E-2</v>
      </c>
      <c r="P18" s="99" t="str">
        <f ca="1">IF(I18=1,"OK","Not OK")</f>
        <v>OK</v>
      </c>
      <c r="Q18" t="str">
        <f t="shared" ca="1" si="3"/>
        <v>Nitro Cooler</v>
      </c>
      <c r="R18" t="str">
        <f t="shared" ca="1" si="4"/>
        <v>Nitro Cooler</v>
      </c>
    </row>
    <row r="19" spans="4:23" x14ac:dyDescent="0.25">
      <c r="D19" t="s">
        <v>839</v>
      </c>
      <c r="E19" s="33">
        <f ca="1">E13/Seconds_per_stroke</f>
        <v>15.049938215783989</v>
      </c>
      <c r="F19" t="s">
        <v>838</v>
      </c>
    </row>
    <row r="20" spans="4:23" x14ac:dyDescent="0.25">
      <c r="D20" t="s">
        <v>840</v>
      </c>
      <c r="E20" s="33">
        <f ca="1">E14/Seconds_per_stroke</f>
        <v>18.131836826524736</v>
      </c>
      <c r="F20" t="s">
        <v>838</v>
      </c>
      <c r="O20" s="63"/>
      <c r="P20" s="10"/>
      <c r="Q20" s="10"/>
      <c r="R20" s="10"/>
      <c r="S20" s="1"/>
    </row>
    <row r="21" spans="4:23" x14ac:dyDescent="0.25">
      <c r="H21">
        <v>1</v>
      </c>
      <c r="I21" s="31">
        <f ca="1">I16</f>
        <v>1</v>
      </c>
      <c r="J21">
        <f ca="1">IF(I21=0," ",H21*I21)</f>
        <v>1</v>
      </c>
      <c r="K21" s="31">
        <f ca="1">IF(ISNUMBER(J21),RANK(J21,$J$21:$J$23,1),"")</f>
        <v>1</v>
      </c>
      <c r="L21" s="65" t="s">
        <v>6</v>
      </c>
      <c r="O21" s="63"/>
      <c r="P21" s="10"/>
      <c r="Q21" s="65" t="str">
        <f ca="1">VLOOKUP(H21,$K$21:$L$23,2,FALSE)</f>
        <v xml:space="preserve"> </v>
      </c>
      <c r="R21" t="str">
        <f ca="1">IFERROR(Q21," ")</f>
        <v xml:space="preserve"> </v>
      </c>
      <c r="S21" s="20" t="str">
        <f ca="1">OFFSET(R20,V16,0,1,1)</f>
        <v xml:space="preserve"> </v>
      </c>
    </row>
    <row r="22" spans="4:23" x14ac:dyDescent="0.25">
      <c r="E22">
        <f ca="1">User_Strokes_per_Minute*User_Used_Stroke_Length</f>
        <v>50</v>
      </c>
      <c r="H22">
        <v>2</v>
      </c>
      <c r="I22" s="31">
        <f ca="1">I17</f>
        <v>1</v>
      </c>
      <c r="J22">
        <f t="shared" ref="J22:J23" ca="1" si="5">IF(I22=0," ",H22*I22)</f>
        <v>2</v>
      </c>
      <c r="K22" s="31">
        <f ca="1">IF(ISNUMBER(J22),RANK(J22,$J$21:$J$23,1),"")</f>
        <v>2</v>
      </c>
      <c r="L22" s="66" t="s">
        <v>880</v>
      </c>
      <c r="O22" s="63"/>
      <c r="P22" s="10"/>
      <c r="Q22" s="65" t="str">
        <f ca="1">VLOOKUP(H22,$K$21:$L$23,2,FALSE)</f>
        <v>-CJ</v>
      </c>
      <c r="R22" t="str">
        <f ca="1">IFERROR(Q22," ")</f>
        <v>-CJ</v>
      </c>
      <c r="S22" s="1"/>
    </row>
    <row r="23" spans="4:23" x14ac:dyDescent="0.25">
      <c r="H23">
        <v>3</v>
      </c>
      <c r="I23" s="31">
        <f ca="1">I18</f>
        <v>1</v>
      </c>
      <c r="J23">
        <f t="shared" ca="1" si="5"/>
        <v>3</v>
      </c>
      <c r="K23" s="31">
        <f ca="1">IF(ISNUMBER(J23),RANK(J23,$J$21:$J$23,1),"")</f>
        <v>3</v>
      </c>
      <c r="L23" s="66" t="s">
        <v>879</v>
      </c>
      <c r="O23" s="63"/>
      <c r="P23" s="10"/>
      <c r="Q23" s="65" t="str">
        <f ca="1">VLOOKUP(H23,$K$21:$L$23,2,FALSE)</f>
        <v>-NC</v>
      </c>
      <c r="R23" t="str">
        <f ca="1">IFERROR(Q23," ")</f>
        <v>-NC</v>
      </c>
      <c r="S23" s="1"/>
    </row>
    <row r="24" spans="4:23" x14ac:dyDescent="0.25">
      <c r="O24" s="63"/>
      <c r="P24" s="63"/>
      <c r="Q24" s="63"/>
      <c r="R24" s="63"/>
    </row>
    <row r="26" spans="4:23" x14ac:dyDescent="0.25">
      <c r="E26" s="33"/>
      <c r="H26" s="103" t="s">
        <v>911</v>
      </c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</row>
    <row r="27" spans="4:23" x14ac:dyDescent="0.25">
      <c r="E27" s="33"/>
      <c r="H27" s="105"/>
      <c r="I27" s="63"/>
      <c r="J27" s="63"/>
      <c r="K27" s="63"/>
      <c r="L27" s="63" t="s">
        <v>904</v>
      </c>
      <c r="M27" s="63"/>
      <c r="N27" s="63">
        <v>80</v>
      </c>
      <c r="O27" s="63" t="s">
        <v>905</v>
      </c>
      <c r="P27" s="63"/>
      <c r="Q27" s="63"/>
      <c r="R27" s="63"/>
      <c r="S27" s="63"/>
      <c r="T27" s="63"/>
      <c r="U27" s="63"/>
      <c r="V27" s="63"/>
    </row>
    <row r="28" spans="4:23" x14ac:dyDescent="0.25">
      <c r="D28" t="s">
        <v>883</v>
      </c>
      <c r="E28">
        <f ca="1">Ext_Cooling_Need</f>
        <v>0</v>
      </c>
      <c r="F28" t="s">
        <v>884</v>
      </c>
      <c r="H28" s="105"/>
      <c r="I28" s="63"/>
      <c r="J28" s="63"/>
      <c r="K28" s="63"/>
      <c r="L28" s="63" t="s">
        <v>906</v>
      </c>
      <c r="M28" s="63"/>
      <c r="N28" s="63">
        <v>24</v>
      </c>
      <c r="O28" s="63" t="s">
        <v>905</v>
      </c>
      <c r="P28" s="63"/>
      <c r="Q28" s="63"/>
      <c r="R28" s="63"/>
      <c r="S28" s="63"/>
      <c r="T28" s="63"/>
      <c r="U28" s="63"/>
      <c r="V28" s="63"/>
    </row>
    <row r="29" spans="4:23" x14ac:dyDescent="0.25">
      <c r="D29" t="s">
        <v>885</v>
      </c>
      <c r="E29">
        <f ca="1">Ext_Cooling_per_spring</f>
        <v>0</v>
      </c>
      <c r="F29" t="s">
        <v>886</v>
      </c>
      <c r="H29" s="105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</row>
    <row r="30" spans="4:23" x14ac:dyDescent="0.25">
      <c r="D30" t="s">
        <v>887</v>
      </c>
      <c r="E30">
        <f ca="1">Cooling_Ant</f>
        <v>3</v>
      </c>
      <c r="H30" s="105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</row>
    <row r="31" spans="4:23" x14ac:dyDescent="0.25">
      <c r="H31" s="105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</row>
    <row r="32" spans="4:23" x14ac:dyDescent="0.25">
      <c r="D32" s="2" t="s">
        <v>124</v>
      </c>
      <c r="E32" s="2">
        <f ca="1">E28/Nitro_Cooler_Capacity</f>
        <v>0</v>
      </c>
      <c r="F32" s="2" t="s">
        <v>890</v>
      </c>
      <c r="H32" s="105"/>
      <c r="I32" s="63"/>
      <c r="J32" s="63"/>
      <c r="K32" s="63"/>
      <c r="L32" s="63" t="s">
        <v>903</v>
      </c>
      <c r="M32" s="63"/>
      <c r="N32" s="63"/>
      <c r="O32" s="63"/>
      <c r="P32" s="63"/>
      <c r="Q32" s="63"/>
      <c r="R32" s="63"/>
      <c r="S32" s="63"/>
      <c r="T32" s="63"/>
      <c r="U32" s="63"/>
      <c r="V32" s="63"/>
    </row>
    <row r="33" spans="3:22" x14ac:dyDescent="0.25">
      <c r="D33" s="2"/>
      <c r="E33" s="2">
        <f ca="1">_xlfn.CEILING.PRECISE(E32)</f>
        <v>0</v>
      </c>
      <c r="F33" s="2" t="s">
        <v>891</v>
      </c>
      <c r="H33" s="105"/>
      <c r="I33" s="63"/>
      <c r="J33" s="63"/>
      <c r="K33" s="63"/>
      <c r="L33" s="10" t="s">
        <v>844</v>
      </c>
      <c r="M33" s="63"/>
      <c r="N33" s="63">
        <f ca="1">N16*1000/($N$27-$N$28)</f>
        <v>2.7286827888197407</v>
      </c>
      <c r="O33" s="63" t="s">
        <v>907</v>
      </c>
      <c r="P33" s="63"/>
      <c r="Q33" s="63"/>
      <c r="R33" s="63"/>
      <c r="S33" s="63"/>
      <c r="T33" s="63"/>
      <c r="U33" s="63"/>
      <c r="V33" s="63"/>
    </row>
    <row r="34" spans="3:22" x14ac:dyDescent="0.25">
      <c r="D34" s="2"/>
      <c r="E34" s="2" t="str">
        <f ca="1">IF(E28=0,"No Nitro Cooler needed",IF(E33&gt;4,CONCATENATE(E33," Nitro Coolers needed. Maximum 4 Nitro Coolers recomended"),IF(E33=1,"One Nitro Cooler needed",CONCATENATE(E33," Nitro Coolers needed"))))</f>
        <v>No Nitro Cooler needed</v>
      </c>
      <c r="F34" s="2">
        <v>2021641</v>
      </c>
      <c r="G34">
        <f ca="1">E33</f>
        <v>0</v>
      </c>
      <c r="H34" s="105"/>
      <c r="I34" s="63"/>
      <c r="J34" s="63"/>
      <c r="K34" s="63"/>
      <c r="L34" s="10" t="s">
        <v>123</v>
      </c>
      <c r="M34" s="63"/>
      <c r="N34" s="63">
        <f t="shared" ref="N34:N35" ca="1" si="6">N17*1000/($N$27-$N$28)</f>
        <v>12.95131201894624</v>
      </c>
      <c r="O34" s="63" t="s">
        <v>907</v>
      </c>
      <c r="P34" s="63"/>
      <c r="Q34" s="63"/>
      <c r="R34" s="63"/>
      <c r="S34" s="63"/>
      <c r="T34" s="63"/>
      <c r="U34" s="63"/>
      <c r="V34" s="63"/>
    </row>
    <row r="35" spans="3:22" x14ac:dyDescent="0.25">
      <c r="H35" s="105"/>
      <c r="I35" s="63"/>
      <c r="J35" s="63"/>
      <c r="K35" s="63"/>
      <c r="L35" s="10" t="s">
        <v>124</v>
      </c>
      <c r="M35" s="63"/>
      <c r="N35" s="63">
        <f t="shared" ca="1" si="6"/>
        <v>20.722099230313983</v>
      </c>
      <c r="O35" s="63" t="s">
        <v>907</v>
      </c>
      <c r="P35" s="63"/>
      <c r="Q35" s="63"/>
      <c r="R35" s="63"/>
      <c r="S35" s="63"/>
      <c r="T35" s="63"/>
      <c r="U35" s="63"/>
      <c r="V35" s="63"/>
    </row>
    <row r="36" spans="3:22" x14ac:dyDescent="0.25">
      <c r="D36" t="s">
        <v>892</v>
      </c>
      <c r="E36" t="str">
        <f ca="1">IF(E28=0,"No Liquid Cooler needed",IF(E28&lt;=Liquid_Cooler_10kW_Capacity,"One 10 kW Cooler Unit needed",IF(E28&lt;=Liquid_Cooler_25kW_Capacity,"One 25 kW Cooler Unit needed","Too much Heat generated")))</f>
        <v>No Liquid Cooler needed</v>
      </c>
      <c r="F36" s="54" t="str">
        <f ca="1">IF(E28&lt;=10,"4017360",IF(E28&lt;=25,"4117360",""))</f>
        <v>4017360</v>
      </c>
      <c r="G36">
        <f ca="1">IF(E28=0,0,1)</f>
        <v>0</v>
      </c>
      <c r="H36" s="105"/>
      <c r="I36" s="63"/>
      <c r="J36" s="63"/>
      <c r="K36" s="63"/>
      <c r="L36" s="10"/>
      <c r="M36" s="63"/>
      <c r="N36" s="63"/>
      <c r="O36" s="63"/>
      <c r="P36" s="63"/>
      <c r="Q36" s="63"/>
      <c r="R36" s="63"/>
      <c r="S36" s="63"/>
      <c r="T36" s="63"/>
      <c r="U36" s="63"/>
      <c r="V36" s="63"/>
    </row>
    <row r="37" spans="3:22" x14ac:dyDescent="0.25">
      <c r="H37" s="105"/>
      <c r="I37" s="63"/>
      <c r="J37" s="63"/>
      <c r="K37" s="63"/>
      <c r="L37" s="10" t="s">
        <v>908</v>
      </c>
      <c r="M37" s="63"/>
      <c r="N37" s="63">
        <f>($N$27-User_Surrounding_Temperature)/($N$27-$N$28)</f>
        <v>1</v>
      </c>
      <c r="O37" s="63"/>
      <c r="P37" s="63"/>
      <c r="Q37" s="63"/>
      <c r="R37" s="63"/>
      <c r="S37" s="63"/>
      <c r="T37" s="63"/>
      <c r="U37" s="63"/>
      <c r="V37" s="63"/>
    </row>
    <row r="38" spans="3:22" x14ac:dyDescent="0.25">
      <c r="D38" t="s">
        <v>916</v>
      </c>
      <c r="E38" t="str">
        <f ca="1">IF(Cooler="-NC",E34,IF(Cooler="-CJ",E36,""))</f>
        <v/>
      </c>
      <c r="F38" s="54" t="str">
        <f ca="1">IF(Cooler="-NC",F34,IF(Cooler="-CJ",F36,""))</f>
        <v/>
      </c>
      <c r="G38" s="54" t="str">
        <f ca="1">IF(Cooler="-NC",G34,IF(Cooler="-CJ",G36,""))</f>
        <v/>
      </c>
      <c r="H38" s="105"/>
      <c r="I38" s="63"/>
      <c r="J38" s="63"/>
      <c r="K38" s="63"/>
      <c r="L38" s="10" t="s">
        <v>913</v>
      </c>
      <c r="M38" s="63"/>
      <c r="N38" s="63"/>
      <c r="O38" s="63"/>
      <c r="P38" s="63"/>
      <c r="Q38" s="63"/>
      <c r="R38" s="63"/>
      <c r="S38" s="63"/>
      <c r="T38" s="63"/>
      <c r="U38" s="63"/>
      <c r="V38" s="63"/>
    </row>
    <row r="39" spans="3:22" x14ac:dyDescent="0.25">
      <c r="E39" t="str">
        <f ca="1">IF(Cooler="-NC","Nitro Cooler",IF(Cooler="-CJ","Liquid Cooler Unit","No Cooler"))</f>
        <v>No Cooler</v>
      </c>
      <c r="H39" s="105"/>
      <c r="I39" s="63"/>
      <c r="J39" s="63"/>
      <c r="K39" s="63"/>
      <c r="L39" s="106" t="s">
        <v>120</v>
      </c>
      <c r="M39" s="106">
        <f ca="1">Heat_Factor</f>
        <v>50</v>
      </c>
      <c r="N39" s="106" t="s">
        <v>827</v>
      </c>
      <c r="O39" s="106"/>
      <c r="P39" s="106"/>
      <c r="Q39" s="106"/>
      <c r="R39" s="106"/>
      <c r="S39" s="63"/>
      <c r="T39" s="63"/>
      <c r="U39" s="63"/>
      <c r="V39" s="63"/>
    </row>
    <row r="40" spans="3:22" x14ac:dyDescent="0.25">
      <c r="H40" s="105"/>
      <c r="I40" s="63"/>
      <c r="J40" s="63"/>
      <c r="K40" s="63"/>
      <c r="L40" s="106" t="s">
        <v>841</v>
      </c>
      <c r="M40" s="119">
        <f ca="1">Total_Power</f>
        <v>1.8131836826524736E-2</v>
      </c>
      <c r="N40" s="106" t="s">
        <v>794</v>
      </c>
      <c r="O40" s="106"/>
      <c r="P40" s="106"/>
      <c r="Q40" s="106"/>
      <c r="R40" s="106"/>
      <c r="S40" s="63"/>
      <c r="T40" s="63"/>
      <c r="U40" s="63"/>
      <c r="V40" s="63"/>
    </row>
    <row r="41" spans="3:22" x14ac:dyDescent="0.25">
      <c r="H41" s="105"/>
      <c r="I41" s="63"/>
      <c r="J41" s="63"/>
      <c r="K41" s="63"/>
      <c r="L41" s="106"/>
      <c r="M41" s="106"/>
      <c r="N41" s="106"/>
      <c r="O41" s="106"/>
      <c r="P41" s="106"/>
      <c r="Q41" s="106"/>
      <c r="R41" s="106"/>
      <c r="S41" s="63"/>
      <c r="T41" s="63"/>
      <c r="U41" s="63"/>
      <c r="V41" s="63"/>
    </row>
    <row r="42" spans="3:22" x14ac:dyDescent="0.25">
      <c r="H42" s="107" t="s">
        <v>874</v>
      </c>
      <c r="I42" s="108" t="s">
        <v>873</v>
      </c>
      <c r="J42" s="108" t="s">
        <v>872</v>
      </c>
      <c r="K42" s="108" t="s">
        <v>871</v>
      </c>
      <c r="L42" s="106"/>
      <c r="M42" s="109" t="s">
        <v>910</v>
      </c>
      <c r="N42" s="106" t="s">
        <v>843</v>
      </c>
      <c r="O42" s="109" t="s">
        <v>833</v>
      </c>
      <c r="P42" s="106"/>
      <c r="Q42" s="106"/>
      <c r="R42" s="106"/>
      <c r="S42" s="63"/>
      <c r="T42" s="63"/>
      <c r="U42" s="63"/>
      <c r="V42" s="63"/>
    </row>
    <row r="43" spans="3:22" x14ac:dyDescent="0.25">
      <c r="H43" s="105">
        <v>1</v>
      </c>
      <c r="I43" s="110">
        <f ca="1">IF(Heat_Factor&lt;=$M43,1,0)</f>
        <v>1</v>
      </c>
      <c r="J43" s="63">
        <f ca="1">IF(I43=0," ",H43*I43)</f>
        <v>1</v>
      </c>
      <c r="K43" s="110">
        <f ca="1">IF(ISNUMBER(J43),RANK(J43,$J$43:$J$45,1),"")</f>
        <v>1</v>
      </c>
      <c r="L43" s="106" t="s">
        <v>844</v>
      </c>
      <c r="M43" s="120">
        <f t="shared" ref="M43:N45" ca="1" si="7">M16*Temperature_Reducing_Factor</f>
        <v>421.37549999999999</v>
      </c>
      <c r="N43" s="119">
        <f t="shared" ca="1" si="7"/>
        <v>0.15280623617390549</v>
      </c>
      <c r="O43" s="111">
        <f ca="1">Heat_Factor/M43</f>
        <v>0.11865901078729067</v>
      </c>
      <c r="P43" s="99" t="str">
        <f ca="1">IF(I43=1,"OK","Not OK")</f>
        <v>OK</v>
      </c>
      <c r="Q43" s="99"/>
      <c r="R43" s="99"/>
      <c r="S43" t="str">
        <f ca="1">IF(E30=0,"No Cooling Alternative",VLOOKUP(H43,$K$43:$L$45,2,FALSE))</f>
        <v>No cooling</v>
      </c>
      <c r="T43" s="63" t="str">
        <f ca="1">IFERROR(S43," ")</f>
        <v>No cooling</v>
      </c>
      <c r="U43" s="63" t="str">
        <f ca="1">OFFSET(T42,V16,0,1,1)</f>
        <v>No cooling</v>
      </c>
      <c r="V43" s="63"/>
    </row>
    <row r="44" spans="3:22" x14ac:dyDescent="0.25">
      <c r="H44" s="105">
        <v>2</v>
      </c>
      <c r="I44" s="110">
        <f ca="1">IF(Heat_Factor&lt;=$M44,1,0)</f>
        <v>1</v>
      </c>
      <c r="J44" s="63">
        <f t="shared" ref="J44" ca="1" si="8">IF(I44=0," ",H44*I44)</f>
        <v>2</v>
      </c>
      <c r="K44" s="110">
        <f ca="1">IF(ISNUMBER(J44),RANK(J44,$J$43:$J$45,1),"")</f>
        <v>2</v>
      </c>
      <c r="L44" s="106" t="s">
        <v>909</v>
      </c>
      <c r="M44" s="120">
        <f t="shared" si="7"/>
        <v>2000</v>
      </c>
      <c r="N44" s="119">
        <f t="shared" ca="1" si="7"/>
        <v>0.72527347306098944</v>
      </c>
      <c r="O44" s="111">
        <f ca="1">Heat_Factor/M44</f>
        <v>2.5000000000000001E-2</v>
      </c>
      <c r="P44" s="99" t="str">
        <f ca="1">IF(I44=1,"OK","Not OK")</f>
        <v>OK</v>
      </c>
      <c r="Q44" s="99"/>
      <c r="R44" s="99"/>
      <c r="S44" t="str">
        <f ca="1">VLOOKUP(H44,$K$43:$L$45,2,FALSE)</f>
        <v>Liquid cooling</v>
      </c>
      <c r="T44" s="63" t="str">
        <f t="shared" ref="T44:T45" ca="1" si="9">IFERROR(S44," ")</f>
        <v>Liquid cooling</v>
      </c>
      <c r="U44" s="63"/>
      <c r="V44" s="63"/>
    </row>
    <row r="45" spans="3:22" x14ac:dyDescent="0.25">
      <c r="H45" s="105">
        <v>3</v>
      </c>
      <c r="I45" s="110">
        <f ca="1">IF(AND(Heat_Factor&lt;$M45,Ext_Cooling_per_spring&lt;=Nitro_Cooler_Capacity),1,0)</f>
        <v>1</v>
      </c>
      <c r="J45" s="63">
        <f ca="1">IF(I45=0," ",H45*I45)</f>
        <v>3</v>
      </c>
      <c r="K45" s="110">
        <f ca="1">IF(ISNUMBER(J45),RANK(J45,$J$43:$J$45,1),"")</f>
        <v>3</v>
      </c>
      <c r="L45" s="106" t="s">
        <v>124</v>
      </c>
      <c r="M45" s="120">
        <f t="shared" si="7"/>
        <v>3200</v>
      </c>
      <c r="N45" s="119">
        <f t="shared" ca="1" si="7"/>
        <v>1.1604375568975831</v>
      </c>
      <c r="O45" s="111">
        <f ca="1">Heat_Factor/M45</f>
        <v>1.5625E-2</v>
      </c>
      <c r="P45" s="99" t="str">
        <f ca="1">IF(I45=1,"OK","Not OK")</f>
        <v>OK</v>
      </c>
      <c r="Q45" s="99"/>
      <c r="R45" s="99"/>
      <c r="S45" t="str">
        <f ca="1">VLOOKUP(H45,$K$43:$L$45,2,FALSE)</f>
        <v>Nitro Cooler</v>
      </c>
      <c r="T45" s="63" t="str">
        <f t="shared" ca="1" si="9"/>
        <v>Nitro Cooler</v>
      </c>
      <c r="U45" s="63"/>
      <c r="V45" s="63"/>
    </row>
    <row r="46" spans="3:22" x14ac:dyDescent="0.25">
      <c r="H46" s="105"/>
      <c r="I46" s="63"/>
      <c r="J46" s="63"/>
      <c r="K46" s="63"/>
      <c r="L46" s="63"/>
      <c r="M46" s="63"/>
      <c r="N46" s="63"/>
      <c r="O46" s="63"/>
      <c r="P46" s="10"/>
      <c r="Q46" s="10"/>
      <c r="T46" s="63"/>
      <c r="U46" s="63"/>
      <c r="V46" s="63"/>
    </row>
    <row r="47" spans="3:22" x14ac:dyDescent="0.25">
      <c r="C47" t="s">
        <v>917</v>
      </c>
      <c r="D47" t="s">
        <v>918</v>
      </c>
      <c r="E47" s="19">
        <f>1.5*Temperature_Reducing_Factor</f>
        <v>1.5</v>
      </c>
      <c r="H47" s="105"/>
      <c r="I47" s="63"/>
      <c r="J47" s="63"/>
      <c r="K47" s="63"/>
      <c r="L47" s="63"/>
      <c r="M47" s="63"/>
      <c r="N47" s="63"/>
      <c r="O47" s="63"/>
      <c r="P47" s="63"/>
      <c r="Q47" s="10"/>
      <c r="R47" s="10"/>
      <c r="S47" s="65"/>
      <c r="T47" s="63"/>
      <c r="U47" s="63"/>
      <c r="V47" s="63"/>
    </row>
    <row r="48" spans="3:22" x14ac:dyDescent="0.25">
      <c r="D48" t="s">
        <v>919</v>
      </c>
      <c r="E48" s="19">
        <f>10*Temperature_Reducing_Factor</f>
        <v>10</v>
      </c>
      <c r="H48" s="105">
        <v>1</v>
      </c>
      <c r="I48" s="110">
        <f ca="1">I43</f>
        <v>1</v>
      </c>
      <c r="J48" s="63">
        <f ca="1">IF(I48=0," ",H48*I48)</f>
        <v>1</v>
      </c>
      <c r="K48" s="110">
        <f ca="1">IF(ISNUMBER(J48),RANK(J48,$J$48:$J$50,1),"")</f>
        <v>1</v>
      </c>
      <c r="L48" s="63"/>
      <c r="M48" s="63"/>
      <c r="N48" s="63"/>
      <c r="O48" s="63"/>
      <c r="P48" s="63"/>
      <c r="Q48" s="65">
        <f ca="1">VLOOKUP(H48,$K$48:$L$50,2,FALSE)</f>
        <v>0</v>
      </c>
      <c r="R48">
        <f ca="1">IFERROR(Q48," ")</f>
        <v>0</v>
      </c>
      <c r="S48" s="20">
        <f ca="1">OFFSET(R47,V16,0,1,1)</f>
        <v>0</v>
      </c>
      <c r="T48" s="63"/>
      <c r="U48" s="63"/>
      <c r="V48" s="63"/>
    </row>
    <row r="49" spans="4:23" x14ac:dyDescent="0.25">
      <c r="D49" t="s">
        <v>920</v>
      </c>
      <c r="E49" s="19">
        <f>25*Temperature_Reducing_Factor</f>
        <v>25</v>
      </c>
      <c r="H49" s="105">
        <v>2</v>
      </c>
      <c r="I49" s="110">
        <f ca="1">I44</f>
        <v>1</v>
      </c>
      <c r="J49" s="63">
        <f t="shared" ref="J49:J50" ca="1" si="10">IF(I49=0," ",H49*I49)</f>
        <v>2</v>
      </c>
      <c r="K49" s="110">
        <f ca="1">IF(ISNUMBER(J49),RANK(J49,$J$48:$J$50,1),"")</f>
        <v>2</v>
      </c>
      <c r="L49" s="112" t="s">
        <v>880</v>
      </c>
      <c r="M49" s="63"/>
      <c r="N49" s="63"/>
      <c r="O49" s="63"/>
      <c r="P49" s="63"/>
      <c r="Q49" s="65" t="str">
        <f ca="1">VLOOKUP(H49,$K$48:$L$50,2,FALSE)</f>
        <v>-CJ</v>
      </c>
      <c r="R49" t="str">
        <f t="shared" ref="R49:R50" ca="1" si="11">IFERROR(Q49," ")</f>
        <v>-CJ</v>
      </c>
      <c r="S49" s="65"/>
      <c r="T49" s="63"/>
      <c r="U49" s="63"/>
      <c r="V49" s="63"/>
    </row>
    <row r="50" spans="4:23" x14ac:dyDescent="0.25">
      <c r="H50" s="105">
        <v>3</v>
      </c>
      <c r="I50" s="110">
        <f ca="1">I45</f>
        <v>1</v>
      </c>
      <c r="J50" s="63">
        <f t="shared" ca="1" si="10"/>
        <v>3</v>
      </c>
      <c r="K50" s="110">
        <f ca="1">IF(ISNUMBER(J50),RANK(J50,$J$48:$J$50,1),"")</f>
        <v>3</v>
      </c>
      <c r="L50" s="112" t="s">
        <v>879</v>
      </c>
      <c r="M50" s="63"/>
      <c r="N50" s="63"/>
      <c r="O50" s="63"/>
      <c r="P50" s="63"/>
      <c r="Q50" s="65" t="str">
        <f ca="1">VLOOKUP(H50,$K$48:$L$50,2,FALSE)</f>
        <v>-NC</v>
      </c>
      <c r="R50" t="str">
        <f t="shared" ca="1" si="11"/>
        <v>-NC</v>
      </c>
      <c r="S50" s="65"/>
      <c r="T50" s="63"/>
      <c r="U50" s="63"/>
      <c r="V50" s="63"/>
    </row>
    <row r="51" spans="4:23" x14ac:dyDescent="0.25">
      <c r="H51" s="105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</row>
    <row r="52" spans="4:23" x14ac:dyDescent="0.25">
      <c r="H52" s="105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</row>
    <row r="53" spans="4:23" x14ac:dyDescent="0.25">
      <c r="H53" s="113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81" spans="6:10" x14ac:dyDescent="0.25">
      <c r="F81" t="s">
        <v>900</v>
      </c>
      <c r="G81" t="s">
        <v>896</v>
      </c>
      <c r="H81" t="s">
        <v>897</v>
      </c>
      <c r="I81" t="s">
        <v>898</v>
      </c>
      <c r="J81" t="s">
        <v>899</v>
      </c>
    </row>
    <row r="82" spans="6:10" x14ac:dyDescent="0.25">
      <c r="F82">
        <v>0</v>
      </c>
      <c r="G82">
        <v>423</v>
      </c>
      <c r="H82">
        <v>374</v>
      </c>
      <c r="I82">
        <v>329</v>
      </c>
      <c r="J82">
        <v>309</v>
      </c>
    </row>
    <row r="83" spans="6:10" x14ac:dyDescent="0.25">
      <c r="F83">
        <v>10</v>
      </c>
      <c r="G83">
        <v>420</v>
      </c>
      <c r="H83">
        <v>365</v>
      </c>
      <c r="I83">
        <v>320</v>
      </c>
      <c r="J83">
        <v>300</v>
      </c>
    </row>
    <row r="84" spans="6:10" x14ac:dyDescent="0.25">
      <c r="F84">
        <v>20</v>
      </c>
      <c r="G84">
        <v>417</v>
      </c>
      <c r="H84">
        <v>355</v>
      </c>
      <c r="I84">
        <v>311</v>
      </c>
      <c r="J84">
        <v>291</v>
      </c>
    </row>
    <row r="85" spans="6:10" x14ac:dyDescent="0.25">
      <c r="F85">
        <v>30</v>
      </c>
      <c r="G85">
        <v>415</v>
      </c>
      <c r="H85">
        <v>346</v>
      </c>
      <c r="I85">
        <v>302</v>
      </c>
      <c r="J85">
        <v>282</v>
      </c>
    </row>
    <row r="86" spans="6:10" x14ac:dyDescent="0.25">
      <c r="F86">
        <v>40</v>
      </c>
      <c r="G86">
        <v>412</v>
      </c>
      <c r="H86">
        <v>336</v>
      </c>
      <c r="I86">
        <v>293</v>
      </c>
      <c r="J86">
        <v>273</v>
      </c>
    </row>
    <row r="87" spans="6:10" x14ac:dyDescent="0.25">
      <c r="F87">
        <v>50</v>
      </c>
      <c r="G87">
        <v>409</v>
      </c>
      <c r="H87">
        <v>327</v>
      </c>
      <c r="I87">
        <v>284</v>
      </c>
      <c r="J87">
        <v>264</v>
      </c>
    </row>
    <row r="88" spans="6:10" x14ac:dyDescent="0.25">
      <c r="F88">
        <v>60</v>
      </c>
      <c r="G88">
        <v>407</v>
      </c>
      <c r="H88">
        <v>318</v>
      </c>
      <c r="I88">
        <v>276</v>
      </c>
      <c r="J88">
        <v>256</v>
      </c>
    </row>
    <row r="89" spans="6:10" x14ac:dyDescent="0.25">
      <c r="F89">
        <v>70</v>
      </c>
      <c r="G89">
        <v>404</v>
      </c>
      <c r="H89">
        <v>308</v>
      </c>
      <c r="I89">
        <v>267</v>
      </c>
      <c r="J89">
        <v>247</v>
      </c>
    </row>
    <row r="90" spans="6:10" x14ac:dyDescent="0.25">
      <c r="F90">
        <v>80</v>
      </c>
      <c r="G90">
        <v>401</v>
      </c>
      <c r="H90">
        <v>299</v>
      </c>
      <c r="I90">
        <v>258</v>
      </c>
      <c r="J90">
        <v>238</v>
      </c>
    </row>
    <row r="91" spans="6:10" x14ac:dyDescent="0.25">
      <c r="F91">
        <v>90</v>
      </c>
      <c r="G91">
        <v>399</v>
      </c>
      <c r="H91">
        <v>289</v>
      </c>
      <c r="I91">
        <v>249</v>
      </c>
      <c r="J91">
        <v>229</v>
      </c>
    </row>
    <row r="92" spans="6:10" x14ac:dyDescent="0.25">
      <c r="F92">
        <v>100</v>
      </c>
      <c r="G92">
        <v>396</v>
      </c>
      <c r="H92">
        <v>280</v>
      </c>
      <c r="I92">
        <v>240</v>
      </c>
      <c r="J92">
        <v>220</v>
      </c>
    </row>
    <row r="93" spans="6:10" x14ac:dyDescent="0.25">
      <c r="F93">
        <v>110</v>
      </c>
      <c r="G93">
        <v>393</v>
      </c>
      <c r="H93">
        <v>271</v>
      </c>
      <c r="I93">
        <v>231</v>
      </c>
      <c r="J93">
        <v>211</v>
      </c>
    </row>
    <row r="94" spans="6:10" x14ac:dyDescent="0.25">
      <c r="F94">
        <v>120</v>
      </c>
      <c r="G94">
        <v>391</v>
      </c>
      <c r="H94">
        <v>261</v>
      </c>
      <c r="I94">
        <v>222</v>
      </c>
      <c r="J94">
        <v>202</v>
      </c>
    </row>
    <row r="95" spans="6:10" x14ac:dyDescent="0.25">
      <c r="F95">
        <v>130</v>
      </c>
      <c r="G95">
        <v>388</v>
      </c>
      <c r="H95">
        <v>252</v>
      </c>
      <c r="I95">
        <v>213</v>
      </c>
      <c r="J95">
        <v>193</v>
      </c>
    </row>
    <row r="96" spans="6:10" x14ac:dyDescent="0.25">
      <c r="F96">
        <v>140</v>
      </c>
      <c r="G96">
        <v>385</v>
      </c>
      <c r="H96">
        <v>242</v>
      </c>
      <c r="I96">
        <v>204</v>
      </c>
      <c r="J96">
        <v>184</v>
      </c>
    </row>
    <row r="97" spans="6:10" x14ac:dyDescent="0.25">
      <c r="F97">
        <v>150</v>
      </c>
      <c r="G97">
        <v>383</v>
      </c>
      <c r="H97">
        <v>233</v>
      </c>
      <c r="I97">
        <v>196</v>
      </c>
      <c r="J97">
        <v>176</v>
      </c>
    </row>
    <row r="98" spans="6:10" x14ac:dyDescent="0.25">
      <c r="F98">
        <v>160</v>
      </c>
      <c r="G98">
        <v>380</v>
      </c>
      <c r="H98">
        <v>224</v>
      </c>
      <c r="I98">
        <v>187</v>
      </c>
      <c r="J98">
        <v>167</v>
      </c>
    </row>
  </sheetData>
  <pageMargins left="0.7" right="0.7" top="0.75" bottom="0.75" header="0.3" footer="0.3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7"/>
  <dimension ref="C1:AL67"/>
  <sheetViews>
    <sheetView workbookViewId="0">
      <selection activeCell="H35" sqref="H35"/>
    </sheetView>
  </sheetViews>
  <sheetFormatPr defaultRowHeight="15" x14ac:dyDescent="0.25"/>
  <cols>
    <col min="3" max="3" width="40.42578125" customWidth="1"/>
    <col min="4" max="4" width="17.140625" customWidth="1"/>
    <col min="6" max="6" width="26.5703125" customWidth="1"/>
    <col min="11" max="11" width="13.42578125" customWidth="1"/>
    <col min="12" max="12" width="15.42578125" customWidth="1"/>
    <col min="13" max="13" width="13.85546875" customWidth="1"/>
    <col min="14" max="14" width="15.140625" customWidth="1"/>
    <col min="15" max="15" width="13.42578125" customWidth="1"/>
    <col min="16" max="16" width="18.140625" customWidth="1"/>
    <col min="17" max="17" width="17.140625" customWidth="1"/>
    <col min="18" max="18" width="26.42578125" customWidth="1"/>
    <col min="19" max="19" width="53" customWidth="1"/>
    <col min="20" max="20" width="40.28515625" customWidth="1"/>
    <col min="21" max="21" width="43.140625" customWidth="1"/>
    <col min="22" max="22" width="51.85546875" customWidth="1"/>
    <col min="32" max="32" width="17.5703125" customWidth="1"/>
    <col min="33" max="33" width="27.5703125" customWidth="1"/>
    <col min="34" max="34" width="48.85546875" bestFit="1" customWidth="1"/>
    <col min="35" max="35" width="14.140625" customWidth="1"/>
    <col min="36" max="36" width="18.5703125" customWidth="1"/>
  </cols>
  <sheetData>
    <row r="1" spans="3:37" x14ac:dyDescent="0.25">
      <c r="C1" s="34" t="s">
        <v>735</v>
      </c>
    </row>
    <row r="2" spans="3:37" x14ac:dyDescent="0.25">
      <c r="C2" s="35">
        <v>42528</v>
      </c>
    </row>
    <row r="3" spans="3:37" x14ac:dyDescent="0.25">
      <c r="C3" s="1"/>
    </row>
    <row r="4" spans="3:37" x14ac:dyDescent="0.25">
      <c r="C4" s="1"/>
    </row>
    <row r="5" spans="3:37" x14ac:dyDescent="0.25">
      <c r="C5" s="1"/>
    </row>
    <row r="7" spans="3:37" x14ac:dyDescent="0.25">
      <c r="D7" s="20"/>
      <c r="E7" t="s">
        <v>736</v>
      </c>
      <c r="L7" t="s">
        <v>737</v>
      </c>
      <c r="N7" s="33"/>
    </row>
    <row r="9" spans="3:37" x14ac:dyDescent="0.25">
      <c r="C9" t="s">
        <v>738</v>
      </c>
      <c r="D9" s="20">
        <f>Fi</f>
        <v>15000</v>
      </c>
      <c r="E9" t="s">
        <v>730</v>
      </c>
      <c r="F9" t="s">
        <v>739</v>
      </c>
      <c r="L9" t="s">
        <v>740</v>
      </c>
      <c r="Q9" t="s">
        <v>741</v>
      </c>
    </row>
    <row r="10" spans="3:37" x14ac:dyDescent="0.25">
      <c r="C10" t="s">
        <v>742</v>
      </c>
      <c r="D10" s="20">
        <f>Fs</f>
        <v>22000</v>
      </c>
      <c r="E10" t="s">
        <v>730</v>
      </c>
      <c r="F10" t="s">
        <v>743</v>
      </c>
      <c r="M10" t="s">
        <v>744</v>
      </c>
      <c r="N10" t="s">
        <v>745</v>
      </c>
      <c r="O10" t="s">
        <v>746</v>
      </c>
      <c r="P10" t="s">
        <v>747</v>
      </c>
      <c r="Q10" t="s">
        <v>748</v>
      </c>
      <c r="R10" t="s">
        <v>749</v>
      </c>
      <c r="S10" t="s">
        <v>750</v>
      </c>
      <c r="T10" t="s">
        <v>751</v>
      </c>
      <c r="U10" t="s">
        <v>752</v>
      </c>
      <c r="V10" t="s">
        <v>753</v>
      </c>
      <c r="AA10" t="s">
        <v>754</v>
      </c>
      <c r="AG10" s="36" t="s">
        <v>749</v>
      </c>
      <c r="AH10" s="36" t="s">
        <v>750</v>
      </c>
    </row>
    <row r="11" spans="3:37" x14ac:dyDescent="0.25">
      <c r="C11" t="s">
        <v>755</v>
      </c>
      <c r="D11" s="20">
        <f ca="1">User_Used_Stroke_Length</f>
        <v>5</v>
      </c>
      <c r="E11" t="s">
        <v>7</v>
      </c>
      <c r="L11">
        <v>0</v>
      </c>
      <c r="M11" s="22">
        <f t="shared" ref="M11:M21" ca="1" si="0">L11*$D$14</f>
        <v>0</v>
      </c>
      <c r="N11" s="33">
        <f t="shared" ref="N11:N21" ca="1" si="1">$D$26-M11</f>
        <v>15.714285714285717</v>
      </c>
      <c r="O11" s="19">
        <f t="shared" ref="O11:O21" ca="1" si="2">$D$26/N11</f>
        <v>1</v>
      </c>
      <c r="P11" s="19">
        <f t="shared" ref="P11:P21" ca="1" si="3">O11^$D$35</f>
        <v>1</v>
      </c>
      <c r="Q11" s="19">
        <f t="shared" ref="Q11:Q21" ca="1" si="4">$D$45*O11</f>
        <v>15</v>
      </c>
      <c r="R11" s="37">
        <f t="shared" ref="R11:R21" ca="1" si="5">Q11*$D$15</f>
        <v>15</v>
      </c>
      <c r="S11" s="37">
        <f t="shared" ref="S11:S21" ca="1" si="6">R11*$AA$17</f>
        <v>18.071672354948806</v>
      </c>
      <c r="T11" s="19">
        <f t="shared" ref="T11:T21" ca="1" si="7">$D$45*P11</f>
        <v>15</v>
      </c>
      <c r="U11" s="38">
        <f t="shared" ref="U11:U21" ca="1" si="8">$D$15*T11</f>
        <v>15</v>
      </c>
      <c r="V11" s="38">
        <f ca="1">U11*$AA$17</f>
        <v>18.071672354948806</v>
      </c>
      <c r="AA11" s="37">
        <v>80</v>
      </c>
      <c r="AF11" s="36">
        <f ca="1">OFFSET(Q11,0,$C$67)</f>
        <v>15</v>
      </c>
      <c r="AG11" s="36">
        <f ca="1">OFFSET(R11,0,$C$67)</f>
        <v>15</v>
      </c>
      <c r="AH11" s="36">
        <f ca="1">OFFSET(S11,0,$C$67)</f>
        <v>18.071672354948806</v>
      </c>
    </row>
    <row r="12" spans="3:37" x14ac:dyDescent="0.25">
      <c r="C12" s="34" t="s">
        <v>756</v>
      </c>
      <c r="D12" s="34">
        <f ca="1">User_Used_Stroke_Length</f>
        <v>5</v>
      </c>
      <c r="E12" t="s">
        <v>7</v>
      </c>
      <c r="L12">
        <v>0.1</v>
      </c>
      <c r="M12" s="22">
        <f t="shared" ca="1" si="0"/>
        <v>0.5</v>
      </c>
      <c r="N12" s="33">
        <f t="shared" ca="1" si="1"/>
        <v>15.214285714285717</v>
      </c>
      <c r="O12" s="19">
        <f t="shared" ca="1" si="2"/>
        <v>1.0328638497652582</v>
      </c>
      <c r="P12" s="19">
        <f t="shared" ca="1" si="3"/>
        <v>1.0463098368307167</v>
      </c>
      <c r="Q12" s="19">
        <f t="shared" ca="1" si="4"/>
        <v>15.492957746478874</v>
      </c>
      <c r="R12" s="37">
        <f t="shared" ca="1" si="5"/>
        <v>15.492957746478874</v>
      </c>
      <c r="S12" s="37">
        <f t="shared" ca="1" si="6"/>
        <v>18.665577080228815</v>
      </c>
      <c r="T12" s="19">
        <f t="shared" ca="1" si="7"/>
        <v>15.694647552460751</v>
      </c>
      <c r="U12" s="38">
        <f t="shared" ca="1" si="8"/>
        <v>15.694647552460751</v>
      </c>
      <c r="V12" s="38">
        <f t="shared" ref="V12:V21" ca="1" si="9">U12*$AA$17</f>
        <v>18.908568552964656</v>
      </c>
      <c r="AA12" s="37">
        <v>80</v>
      </c>
      <c r="AF12" s="36">
        <f t="shared" ref="AF12:AF21" ca="1" si="10">OFFSET(Q12,0,$C$67)</f>
        <v>15.492957746478874</v>
      </c>
      <c r="AG12" s="36">
        <f t="shared" ref="AG12:AH21" ca="1" si="11">OFFSET(R12,0,$C$67)</f>
        <v>15.492957746478874</v>
      </c>
      <c r="AH12" s="36">
        <f t="shared" ca="1" si="11"/>
        <v>18.665577080228815</v>
      </c>
      <c r="AJ12">
        <f ca="1">AVERAGE(AG11:AG12)*(M12-M11)</f>
        <v>7.623239436619718</v>
      </c>
      <c r="AK12">
        <f ca="1">(AVERAGE(AH11:AH12)*(M12-M11))</f>
        <v>9.1843123587944042</v>
      </c>
    </row>
    <row r="13" spans="3:37" x14ac:dyDescent="0.25">
      <c r="C13" s="34" t="s">
        <v>757</v>
      </c>
      <c r="D13" s="34">
        <f ca="1">User_Used_Stroke_Length</f>
        <v>5</v>
      </c>
      <c r="E13" t="s">
        <v>7</v>
      </c>
      <c r="L13">
        <v>0.2</v>
      </c>
      <c r="M13" s="22">
        <f t="shared" ca="1" si="0"/>
        <v>1</v>
      </c>
      <c r="N13" s="33">
        <f t="shared" ca="1" si="1"/>
        <v>14.714285714285717</v>
      </c>
      <c r="O13" s="19">
        <f t="shared" ca="1" si="2"/>
        <v>1.0679611650485437</v>
      </c>
      <c r="P13" s="19">
        <f t="shared" ca="1" si="3"/>
        <v>1.0964217562360852</v>
      </c>
      <c r="Q13" s="19">
        <f t="shared" ca="1" si="4"/>
        <v>16.019417475728154</v>
      </c>
      <c r="R13" s="37">
        <f t="shared" ca="1" si="5"/>
        <v>16.019417475728154</v>
      </c>
      <c r="S13" s="37">
        <f t="shared" ca="1" si="6"/>
        <v>19.299844262566683</v>
      </c>
      <c r="T13" s="19">
        <f t="shared" ca="1" si="7"/>
        <v>16.446326343541276</v>
      </c>
      <c r="U13" s="38">
        <f t="shared" ca="1" si="8"/>
        <v>16.446326343541276</v>
      </c>
      <c r="V13" s="38">
        <f t="shared" ca="1" si="9"/>
        <v>19.814174741536075</v>
      </c>
      <c r="AA13" t="s">
        <v>758</v>
      </c>
      <c r="AF13" s="36">
        <f t="shared" ca="1" si="10"/>
        <v>16.019417475728154</v>
      </c>
      <c r="AG13" s="36">
        <f t="shared" ca="1" si="11"/>
        <v>16.019417475728154</v>
      </c>
      <c r="AH13" s="36">
        <f t="shared" ca="1" si="11"/>
        <v>19.299844262566683</v>
      </c>
      <c r="AJ13">
        <f t="shared" ref="AJ13:AJ21" ca="1" si="12">AVERAGE(AG12:AG13)*(M13-M12)</f>
        <v>7.8780938055517566</v>
      </c>
      <c r="AK13">
        <f t="shared" ref="AK13:AK21" ca="1" si="13">(AVERAGE(AH12:AH13)*(M13-M12))</f>
        <v>9.4913553356988736</v>
      </c>
    </row>
    <row r="14" spans="3:37" x14ac:dyDescent="0.25">
      <c r="C14" t="s">
        <v>759</v>
      </c>
      <c r="D14" s="21">
        <f ca="1">User_Used_Stroke_Length</f>
        <v>5</v>
      </c>
      <c r="E14" t="s">
        <v>7</v>
      </c>
      <c r="L14">
        <v>0.3</v>
      </c>
      <c r="M14" s="22">
        <f t="shared" ca="1" si="0"/>
        <v>1.5</v>
      </c>
      <c r="N14" s="33">
        <f t="shared" ca="1" si="1"/>
        <v>14.214285714285717</v>
      </c>
      <c r="O14" s="19">
        <f t="shared" ca="1" si="2"/>
        <v>1.1055276381909547</v>
      </c>
      <c r="P14" s="19">
        <f t="shared" ca="1" si="3"/>
        <v>1.1507936218050674</v>
      </c>
      <c r="Q14" s="19">
        <f t="shared" ca="1" si="4"/>
        <v>16.582914572864318</v>
      </c>
      <c r="R14" s="37">
        <f t="shared" ca="1" si="5"/>
        <v>16.582914572864318</v>
      </c>
      <c r="S14" s="37">
        <f t="shared" ca="1" si="6"/>
        <v>19.978733256727317</v>
      </c>
      <c r="T14" s="19">
        <f t="shared" ca="1" si="7"/>
        <v>17.26190432707601</v>
      </c>
      <c r="U14" s="38">
        <f t="shared" ca="1" si="8"/>
        <v>17.26190432707601</v>
      </c>
      <c r="V14" s="38">
        <f t="shared" ca="1" si="9"/>
        <v>20.796765281426044</v>
      </c>
      <c r="AA14" s="19">
        <f>IFERROR((AA11+AA12)*0.5,20)</f>
        <v>80</v>
      </c>
      <c r="AF14" s="36">
        <f t="shared" ca="1" si="10"/>
        <v>16.582914572864318</v>
      </c>
      <c r="AG14" s="36">
        <f t="shared" ca="1" si="11"/>
        <v>16.582914572864318</v>
      </c>
      <c r="AH14" s="36">
        <f t="shared" ca="1" si="11"/>
        <v>19.978733256727317</v>
      </c>
      <c r="AJ14">
        <f t="shared" ca="1" si="12"/>
        <v>8.1505830121481182</v>
      </c>
      <c r="AK14">
        <f t="shared" ca="1" si="13"/>
        <v>9.8196443798235009</v>
      </c>
    </row>
    <row r="15" spans="3:37" x14ac:dyDescent="0.25">
      <c r="C15" t="s">
        <v>760</v>
      </c>
      <c r="D15" s="20">
        <f>User_Number_of_Springs</f>
        <v>1</v>
      </c>
      <c r="E15" t="s">
        <v>761</v>
      </c>
      <c r="L15">
        <v>0.4</v>
      </c>
      <c r="M15" s="22">
        <f t="shared" ca="1" si="0"/>
        <v>2</v>
      </c>
      <c r="N15" s="33">
        <f t="shared" ca="1" si="1"/>
        <v>13.714285714285717</v>
      </c>
      <c r="O15" s="19">
        <f t="shared" ca="1" si="2"/>
        <v>1.1458333333333333</v>
      </c>
      <c r="P15" s="19">
        <f t="shared" ca="1" si="3"/>
        <v>1.2099572689339122</v>
      </c>
      <c r="Q15" s="19">
        <f t="shared" ca="1" si="4"/>
        <v>17.1875</v>
      </c>
      <c r="R15" s="37">
        <f t="shared" ca="1" si="5"/>
        <v>17.1875</v>
      </c>
      <c r="S15" s="37">
        <f t="shared" ca="1" si="6"/>
        <v>20.707124573378838</v>
      </c>
      <c r="T15" s="19">
        <f t="shared" ca="1" si="7"/>
        <v>18.149359034008683</v>
      </c>
      <c r="U15" s="38">
        <f t="shared" ca="1" si="8"/>
        <v>18.149359034008683</v>
      </c>
      <c r="V15" s="38">
        <f t="shared" ca="1" si="9"/>
        <v>21.865951327662337</v>
      </c>
      <c r="AF15" s="36">
        <f t="shared" ca="1" si="10"/>
        <v>17.1875</v>
      </c>
      <c r="AG15" s="36">
        <f t="shared" ca="1" si="11"/>
        <v>17.1875</v>
      </c>
      <c r="AH15" s="36">
        <f t="shared" ca="1" si="11"/>
        <v>20.707124573378838</v>
      </c>
      <c r="AJ15">
        <f t="shared" ca="1" si="12"/>
        <v>8.4426036432160796</v>
      </c>
      <c r="AK15">
        <f t="shared" ca="1" si="13"/>
        <v>10.17146445752654</v>
      </c>
    </row>
    <row r="16" spans="3:37" x14ac:dyDescent="0.25">
      <c r="C16" t="s">
        <v>762</v>
      </c>
      <c r="D16" s="20">
        <v>1</v>
      </c>
      <c r="E16" s="20" t="s">
        <v>9</v>
      </c>
      <c r="L16">
        <v>0.5</v>
      </c>
      <c r="M16" s="22">
        <f t="shared" ca="1" si="0"/>
        <v>2.5</v>
      </c>
      <c r="N16" s="33">
        <f t="shared" ca="1" si="1"/>
        <v>13.214285714285717</v>
      </c>
      <c r="O16" s="19">
        <f t="shared" ca="1" si="2"/>
        <v>1.1891891891891893</v>
      </c>
      <c r="P16" s="19">
        <f t="shared" ca="1" si="3"/>
        <v>1.2745337300246184</v>
      </c>
      <c r="Q16" s="19">
        <f t="shared" ca="1" si="4"/>
        <v>17.837837837837839</v>
      </c>
      <c r="R16" s="37">
        <f t="shared" ca="1" si="5"/>
        <v>17.837837837837839</v>
      </c>
      <c r="S16" s="37">
        <f t="shared" ca="1" si="6"/>
        <v>21.490637395074256</v>
      </c>
      <c r="T16" s="19">
        <f t="shared" ca="1" si="7"/>
        <v>19.118005950369277</v>
      </c>
      <c r="U16" s="38">
        <f t="shared" ca="1" si="8"/>
        <v>19.118005950369277</v>
      </c>
      <c r="V16" s="38">
        <f t="shared" ca="1" si="9"/>
        <v>23.032955974335682</v>
      </c>
      <c r="AA16" t="s">
        <v>763</v>
      </c>
      <c r="AF16" s="36">
        <f t="shared" ca="1" si="10"/>
        <v>17.837837837837839</v>
      </c>
      <c r="AG16" s="36">
        <f t="shared" ca="1" si="11"/>
        <v>17.837837837837839</v>
      </c>
      <c r="AH16" s="36">
        <f t="shared" ca="1" si="11"/>
        <v>21.490637395074256</v>
      </c>
      <c r="AJ16">
        <f t="shared" ca="1" si="12"/>
        <v>8.7563344594594597</v>
      </c>
      <c r="AK16">
        <f t="shared" ca="1" si="13"/>
        <v>10.549440492113273</v>
      </c>
    </row>
    <row r="17" spans="3:38" x14ac:dyDescent="0.25">
      <c r="C17" t="s">
        <v>764</v>
      </c>
      <c r="D17" s="20">
        <v>1</v>
      </c>
      <c r="E17" s="20" t="s">
        <v>8</v>
      </c>
      <c r="L17">
        <v>0.6</v>
      </c>
      <c r="M17" s="22">
        <f t="shared" ca="1" si="0"/>
        <v>3</v>
      </c>
      <c r="N17" s="33">
        <f t="shared" ca="1" si="1"/>
        <v>12.714285714285717</v>
      </c>
      <c r="O17" s="19">
        <f t="shared" ca="1" si="2"/>
        <v>1.2359550561797752</v>
      </c>
      <c r="P17" s="19">
        <f t="shared" ca="1" si="3"/>
        <v>1.3452523206887339</v>
      </c>
      <c r="Q17" s="19">
        <f t="shared" ca="1" si="4"/>
        <v>18.539325842696627</v>
      </c>
      <c r="R17" s="37">
        <f t="shared" ca="1" si="5"/>
        <v>18.539325842696627</v>
      </c>
      <c r="S17" s="37">
        <f t="shared" ca="1" si="6"/>
        <v>22.335774820723238</v>
      </c>
      <c r="T17" s="19">
        <f t="shared" ca="1" si="7"/>
        <v>20.17878481033101</v>
      </c>
      <c r="U17" s="38">
        <f t="shared" ca="1" si="8"/>
        <v>20.17878481033101</v>
      </c>
      <c r="V17" s="38">
        <f t="shared" ca="1" si="9"/>
        <v>24.310959174221317</v>
      </c>
      <c r="AA17" s="19">
        <f>(273+AA14)/(273+20)</f>
        <v>1.204778156996587</v>
      </c>
      <c r="AF17" s="36">
        <f t="shared" ca="1" si="10"/>
        <v>18.539325842696627</v>
      </c>
      <c r="AG17" s="36">
        <f t="shared" ca="1" si="11"/>
        <v>18.539325842696627</v>
      </c>
      <c r="AH17" s="36">
        <f t="shared" ca="1" si="11"/>
        <v>22.335774820723238</v>
      </c>
      <c r="AJ17">
        <f t="shared" ca="1" si="12"/>
        <v>9.0942909201336164</v>
      </c>
      <c r="AK17">
        <f t="shared" ca="1" si="13"/>
        <v>10.956603053949372</v>
      </c>
    </row>
    <row r="18" spans="3:38" x14ac:dyDescent="0.25">
      <c r="C18" t="s">
        <v>765</v>
      </c>
      <c r="D18" s="20">
        <f>User_Charge_Pressure</f>
        <v>150</v>
      </c>
      <c r="E18" s="20"/>
      <c r="L18">
        <v>0.7</v>
      </c>
      <c r="M18" s="22">
        <f t="shared" ca="1" si="0"/>
        <v>3.5</v>
      </c>
      <c r="N18" s="33">
        <f t="shared" ca="1" si="1"/>
        <v>12.214285714285717</v>
      </c>
      <c r="O18" s="19">
        <f t="shared" ca="1" si="2"/>
        <v>1.2865497076023391</v>
      </c>
      <c r="P18" s="19">
        <f t="shared" ca="1" si="3"/>
        <v>1.4229747657120411</v>
      </c>
      <c r="Q18" s="19">
        <f t="shared" ca="1" si="4"/>
        <v>19.298245614035086</v>
      </c>
      <c r="R18" s="37">
        <f t="shared" ca="1" si="5"/>
        <v>19.298245614035086</v>
      </c>
      <c r="S18" s="37">
        <f t="shared" ca="1" si="6"/>
        <v>23.250104784144657</v>
      </c>
      <c r="T18" s="19">
        <f t="shared" ca="1" si="7"/>
        <v>21.344621485680616</v>
      </c>
      <c r="U18" s="38">
        <f t="shared" ca="1" si="8"/>
        <v>21.344621485680616</v>
      </c>
      <c r="V18" s="38">
        <f t="shared" ca="1" si="9"/>
        <v>25.715533735308043</v>
      </c>
      <c r="AA18" s="19"/>
      <c r="AF18" s="36">
        <f t="shared" ca="1" si="10"/>
        <v>19.298245614035086</v>
      </c>
      <c r="AG18" s="36">
        <f t="shared" ca="1" si="11"/>
        <v>19.298245614035086</v>
      </c>
      <c r="AH18" s="36">
        <f t="shared" ca="1" si="11"/>
        <v>23.250104784144657</v>
      </c>
      <c r="AJ18">
        <f t="shared" ca="1" si="12"/>
        <v>9.4593928641829272</v>
      </c>
      <c r="AK18">
        <f t="shared" ca="1" si="13"/>
        <v>11.396469901216975</v>
      </c>
    </row>
    <row r="19" spans="3:38" x14ac:dyDescent="0.25">
      <c r="C19" t="s">
        <v>766</v>
      </c>
      <c r="D19">
        <f>D18/D16</f>
        <v>150</v>
      </c>
      <c r="E19" t="s">
        <v>9</v>
      </c>
      <c r="L19">
        <v>0.8</v>
      </c>
      <c r="M19" s="22">
        <f t="shared" ca="1" si="0"/>
        <v>4</v>
      </c>
      <c r="N19" s="33">
        <f t="shared" ca="1" si="1"/>
        <v>11.714285714285717</v>
      </c>
      <c r="O19" s="19">
        <f t="shared" ca="1" si="2"/>
        <v>1.3414634146341462</v>
      </c>
      <c r="P19" s="19">
        <f t="shared" ca="1" si="3"/>
        <v>1.5087259695905695</v>
      </c>
      <c r="Q19" s="19">
        <f t="shared" ca="1" si="4"/>
        <v>20.121951219512194</v>
      </c>
      <c r="R19" s="37">
        <f t="shared" ca="1" si="5"/>
        <v>20.121951219512194</v>
      </c>
      <c r="S19" s="37">
        <f t="shared" ca="1" si="6"/>
        <v>24.242487305419129</v>
      </c>
      <c r="T19" s="19">
        <f t="shared" ca="1" si="7"/>
        <v>22.630889543858544</v>
      </c>
      <c r="U19" s="38">
        <f t="shared" ca="1" si="8"/>
        <v>22.630889543858544</v>
      </c>
      <c r="V19" s="38">
        <f t="shared" ca="1" si="9"/>
        <v>27.265201395843228</v>
      </c>
      <c r="AF19" s="36">
        <f t="shared" ca="1" si="10"/>
        <v>20.121951219512194</v>
      </c>
      <c r="AG19" s="36">
        <f t="shared" ca="1" si="11"/>
        <v>20.121951219512194</v>
      </c>
      <c r="AH19" s="36">
        <f t="shared" ca="1" si="11"/>
        <v>24.242487305419129</v>
      </c>
      <c r="AJ19">
        <f t="shared" ca="1" si="12"/>
        <v>9.85504920838682</v>
      </c>
      <c r="AK19">
        <f t="shared" ca="1" si="13"/>
        <v>11.873148022390946</v>
      </c>
    </row>
    <row r="20" spans="3:38" x14ac:dyDescent="0.25">
      <c r="C20" t="s">
        <v>767</v>
      </c>
      <c r="D20">
        <v>150</v>
      </c>
      <c r="E20" t="s">
        <v>9</v>
      </c>
      <c r="L20">
        <v>0.9</v>
      </c>
      <c r="M20" s="22">
        <f t="shared" ca="1" si="0"/>
        <v>4.5</v>
      </c>
      <c r="N20" s="33">
        <f t="shared" ca="1" si="1"/>
        <v>11.214285714285717</v>
      </c>
      <c r="O20" s="19">
        <f t="shared" ca="1" si="2"/>
        <v>1.4012738853503184</v>
      </c>
      <c r="P20" s="19">
        <f t="shared" ca="1" si="3"/>
        <v>1.6037336425678816</v>
      </c>
      <c r="Q20" s="19">
        <f t="shared" ca="1" si="4"/>
        <v>21.019108280254777</v>
      </c>
      <c r="R20" s="37">
        <f t="shared" ca="1" si="5"/>
        <v>21.019108280254777</v>
      </c>
      <c r="S20" s="37">
        <f t="shared" ca="1" si="6"/>
        <v>25.323362535597052</v>
      </c>
      <c r="T20" s="19">
        <f t="shared" ca="1" si="7"/>
        <v>24.056004638518225</v>
      </c>
      <c r="U20" s="38">
        <f t="shared" ca="1" si="8"/>
        <v>24.056004638518225</v>
      </c>
      <c r="V20" s="38">
        <f t="shared" ca="1" si="9"/>
        <v>28.982148933095335</v>
      </c>
      <c r="AF20" s="36">
        <f t="shared" ca="1" si="10"/>
        <v>21.019108280254777</v>
      </c>
      <c r="AG20" s="36">
        <f t="shared" ca="1" si="11"/>
        <v>21.019108280254777</v>
      </c>
      <c r="AH20" s="36">
        <f t="shared" ca="1" si="11"/>
        <v>25.323362535597052</v>
      </c>
      <c r="AJ20">
        <f t="shared" ca="1" si="12"/>
        <v>10.285264874941742</v>
      </c>
      <c r="AK20">
        <f t="shared" ca="1" si="13"/>
        <v>12.391462460254045</v>
      </c>
    </row>
    <row r="21" spans="3:38" x14ac:dyDescent="0.25">
      <c r="L21">
        <v>1</v>
      </c>
      <c r="M21" s="22">
        <f t="shared" ca="1" si="0"/>
        <v>5</v>
      </c>
      <c r="N21" s="33">
        <f t="shared" ca="1" si="1"/>
        <v>10.714285714285717</v>
      </c>
      <c r="O21" s="19">
        <f t="shared" ca="1" si="2"/>
        <v>1.4666666666666666</v>
      </c>
      <c r="P21" s="19">
        <f t="shared" ca="1" si="3"/>
        <v>1.7094798674418923</v>
      </c>
      <c r="Q21" s="19">
        <f t="shared" ca="1" si="4"/>
        <v>22</v>
      </c>
      <c r="R21" s="37">
        <f t="shared" ca="1" si="5"/>
        <v>22</v>
      </c>
      <c r="S21" s="37">
        <f t="shared" ca="1" si="6"/>
        <v>26.505119453924912</v>
      </c>
      <c r="T21" s="19">
        <f t="shared" ca="1" si="7"/>
        <v>25.642198011628384</v>
      </c>
      <c r="U21" s="38">
        <f t="shared" ca="1" si="8"/>
        <v>25.642198011628384</v>
      </c>
      <c r="V21" s="38">
        <f t="shared" ca="1" si="9"/>
        <v>30.893160061791193</v>
      </c>
      <c r="AF21" s="36">
        <f t="shared" ca="1" si="10"/>
        <v>22</v>
      </c>
      <c r="AG21" s="36">
        <f t="shared" ca="1" si="11"/>
        <v>22</v>
      </c>
      <c r="AH21" s="36">
        <f t="shared" ca="1" si="11"/>
        <v>26.505119453924912</v>
      </c>
      <c r="AJ21">
        <f t="shared" ca="1" si="12"/>
        <v>10.754777070063694</v>
      </c>
      <c r="AK21">
        <f t="shared" ca="1" si="13"/>
        <v>12.95712049738049</v>
      </c>
    </row>
    <row r="22" spans="3:38" x14ac:dyDescent="0.25">
      <c r="C22" t="s">
        <v>768</v>
      </c>
      <c r="H22" t="s">
        <v>769</v>
      </c>
      <c r="N22" s="19"/>
      <c r="R22" s="18"/>
    </row>
    <row r="23" spans="3:38" x14ac:dyDescent="0.25">
      <c r="AH23" s="19">
        <f ca="1">AVERAGE(AH11:AH21)</f>
        <v>21.806403438430337</v>
      </c>
      <c r="AI23" t="s">
        <v>825</v>
      </c>
      <c r="AJ23">
        <f ca="1">SUM(AJ12:AJ21)</f>
        <v>90.299629294703934</v>
      </c>
      <c r="AK23">
        <f ca="1">SUM(AK12:AK21)</f>
        <v>108.79102095914843</v>
      </c>
      <c r="AL23" t="s">
        <v>826</v>
      </c>
    </row>
    <row r="24" spans="3:38" x14ac:dyDescent="0.25">
      <c r="C24" t="s">
        <v>770</v>
      </c>
      <c r="D24" s="19">
        <f>D10/D9</f>
        <v>1.4666666666666666</v>
      </c>
      <c r="I24" s="33"/>
    </row>
    <row r="25" spans="3:38" x14ac:dyDescent="0.25">
      <c r="AH25" s="19"/>
    </row>
    <row r="26" spans="3:38" x14ac:dyDescent="0.25">
      <c r="C26" t="s">
        <v>771</v>
      </c>
      <c r="D26" s="33">
        <f ca="1">(D24*D11)/(D24-1)</f>
        <v>15.714285714285717</v>
      </c>
      <c r="E26" t="s">
        <v>7</v>
      </c>
      <c r="F26" t="s">
        <v>772</v>
      </c>
    </row>
    <row r="28" spans="3:38" x14ac:dyDescent="0.25">
      <c r="D28" s="33">
        <f ca="1">D26-D11</f>
        <v>10.714285714285717</v>
      </c>
      <c r="E28" t="s">
        <v>7</v>
      </c>
      <c r="F28" t="s">
        <v>773</v>
      </c>
    </row>
    <row r="30" spans="3:38" x14ac:dyDescent="0.25">
      <c r="C30" t="s">
        <v>774</v>
      </c>
      <c r="D30" s="33">
        <f ca="1">D26-D14</f>
        <v>10.714285714285717</v>
      </c>
      <c r="E30" t="s">
        <v>7</v>
      </c>
      <c r="F30" t="s">
        <v>775</v>
      </c>
    </row>
    <row r="32" spans="3:38" x14ac:dyDescent="0.25">
      <c r="C32" t="s">
        <v>776</v>
      </c>
      <c r="D32" s="19">
        <f ca="1">D26/D30</f>
        <v>1.4666666666666666</v>
      </c>
    </row>
    <row r="35" spans="3:5" x14ac:dyDescent="0.25">
      <c r="C35" s="39" t="s">
        <v>777</v>
      </c>
      <c r="D35" s="40">
        <v>1.4</v>
      </c>
    </row>
    <row r="36" spans="3:5" x14ac:dyDescent="0.25">
      <c r="C36" t="s">
        <v>778</v>
      </c>
      <c r="D36" s="19">
        <f ca="1">D32^D35</f>
        <v>1.7094798674418923</v>
      </c>
      <c r="E36" t="s">
        <v>779</v>
      </c>
    </row>
    <row r="38" spans="3:5" x14ac:dyDescent="0.25">
      <c r="D38" s="33">
        <f ca="1">D9*D36</f>
        <v>25642.198011628385</v>
      </c>
    </row>
    <row r="42" spans="3:5" x14ac:dyDescent="0.25">
      <c r="C42" t="s">
        <v>780</v>
      </c>
      <c r="D42" s="18">
        <f ca="1">D19*D36</f>
        <v>256.42198011628386</v>
      </c>
    </row>
    <row r="44" spans="3:5" x14ac:dyDescent="0.25">
      <c r="C44" t="s">
        <v>781</v>
      </c>
      <c r="D44">
        <f>D19/D20</f>
        <v>1</v>
      </c>
    </row>
    <row r="45" spans="3:5" x14ac:dyDescent="0.25">
      <c r="C45" t="s">
        <v>782</v>
      </c>
      <c r="D45" s="36">
        <f>D44*D9*0.001*D17</f>
        <v>15</v>
      </c>
      <c r="E45" t="str">
        <f>E17</f>
        <v>kN</v>
      </c>
    </row>
    <row r="46" spans="3:5" x14ac:dyDescent="0.25">
      <c r="C46" t="s">
        <v>783</v>
      </c>
      <c r="D46" s="41">
        <f ca="1">$AH$11</f>
        <v>18.071672354948806</v>
      </c>
      <c r="E46" t="str">
        <f>E17</f>
        <v>kN</v>
      </c>
    </row>
    <row r="47" spans="3:5" x14ac:dyDescent="0.25">
      <c r="C47" t="s">
        <v>784</v>
      </c>
      <c r="D47" s="36">
        <f ca="1">D9*D32*D44*0.001*D17</f>
        <v>22</v>
      </c>
      <c r="E47" t="s">
        <v>785</v>
      </c>
    </row>
    <row r="48" spans="3:5" x14ac:dyDescent="0.25">
      <c r="C48" t="s">
        <v>786</v>
      </c>
      <c r="D48" s="41">
        <f ca="1">$AH$21</f>
        <v>26.505119453924912</v>
      </c>
    </row>
    <row r="49" spans="3:5" x14ac:dyDescent="0.25">
      <c r="C49" t="s">
        <v>787</v>
      </c>
    </row>
    <row r="51" spans="3:5" x14ac:dyDescent="0.25">
      <c r="C51" s="42" t="s">
        <v>788</v>
      </c>
      <c r="D51" s="42" t="str">
        <f ca="1">IF(D12&gt;D11,"Used stroke length is more than 100%!","")</f>
        <v/>
      </c>
    </row>
    <row r="52" spans="3:5" x14ac:dyDescent="0.25">
      <c r="C52" s="10"/>
      <c r="D52" s="43"/>
    </row>
    <row r="56" spans="3:5" x14ac:dyDescent="0.25">
      <c r="D56" s="21"/>
      <c r="E56" t="s">
        <v>789</v>
      </c>
    </row>
    <row r="65" spans="3:5" x14ac:dyDescent="0.25">
      <c r="D65" t="s">
        <v>790</v>
      </c>
      <c r="E65" t="s">
        <v>793</v>
      </c>
    </row>
    <row r="66" spans="3:5" x14ac:dyDescent="0.25">
      <c r="C66">
        <v>1</v>
      </c>
      <c r="D66" s="15" t="s">
        <v>791</v>
      </c>
      <c r="E66">
        <v>0</v>
      </c>
    </row>
    <row r="67" spans="3:5" x14ac:dyDescent="0.25">
      <c r="C67">
        <f>INDEX(E66:E67,C66)</f>
        <v>0</v>
      </c>
      <c r="D67" s="15" t="s">
        <v>792</v>
      </c>
      <c r="E67">
        <v>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3:R84"/>
  <sheetViews>
    <sheetView workbookViewId="0">
      <selection activeCell="B14" sqref="B14"/>
    </sheetView>
  </sheetViews>
  <sheetFormatPr defaultRowHeight="15" x14ac:dyDescent="0.25"/>
  <cols>
    <col min="1" max="1" width="25.28515625" customWidth="1"/>
    <col min="8" max="8" width="14.5703125" customWidth="1"/>
    <col min="11" max="11" width="13.5703125" customWidth="1"/>
    <col min="12" max="12" width="14.140625" customWidth="1"/>
  </cols>
  <sheetData>
    <row r="3" spans="1:18" x14ac:dyDescent="0.25">
      <c r="F3" t="s">
        <v>819</v>
      </c>
      <c r="G3" t="s">
        <v>814</v>
      </c>
      <c r="H3" t="s">
        <v>815</v>
      </c>
      <c r="I3" t="s">
        <v>800</v>
      </c>
      <c r="K3" t="s">
        <v>817</v>
      </c>
      <c r="L3" t="s">
        <v>798</v>
      </c>
      <c r="O3" t="s">
        <v>808</v>
      </c>
      <c r="Q3" t="s">
        <v>816</v>
      </c>
    </row>
    <row r="4" spans="1:18" x14ac:dyDescent="0.25">
      <c r="A4" t="s">
        <v>801</v>
      </c>
      <c r="B4" s="20">
        <f>Excenter_Stroke</f>
        <v>500</v>
      </c>
      <c r="C4" t="s">
        <v>7</v>
      </c>
      <c r="F4">
        <f t="shared" ref="F4:F35" ca="1" si="0">IF(M4&lt;User_Used_Stroke_Length,1,0)</f>
        <v>0</v>
      </c>
      <c r="G4">
        <f t="shared" ref="G4:G43" si="1">H4*$G$84</f>
        <v>0</v>
      </c>
      <c r="H4">
        <v>0</v>
      </c>
      <c r="I4">
        <f>H4*2*PI()</f>
        <v>0</v>
      </c>
      <c r="J4">
        <f t="shared" ref="J4:J35" si="2">crank_radius*COS(I4)+SQRT(rod_length^2-crank_radius^2*SIN(I4)^2)</f>
        <v>650</v>
      </c>
      <c r="K4">
        <f>J4-$B$11</f>
        <v>500</v>
      </c>
      <c r="L4">
        <f t="shared" ref="L4:L35" si="3">IF(AND(G4&gt;0.5*Period_time,G4&lt;0.5*Period_time+Locked_Spring),Spring_Back,-10)</f>
        <v>-10</v>
      </c>
      <c r="M4">
        <f t="shared" ref="M4:M35" ca="1" si="4">IF(K4&gt;=User_Used_Stroke_Length,User_Used_Stroke_Length,K4)</f>
        <v>5</v>
      </c>
      <c r="N4">
        <f t="shared" ref="N4:N35" ca="1" si="5">IF(G4&lt;=0.5*Period_time,M4,-10)</f>
        <v>5</v>
      </c>
      <c r="O4">
        <f t="shared" ref="O4:O35" ca="1" si="6">Return_Speed*1000*G4-Return_Speed*1000*(0.5*Period_time+Locked_Spring)</f>
        <v>-800</v>
      </c>
      <c r="P4">
        <f t="shared" ref="P4:P35" ca="1" si="7">IF(O4&gt;User_Used_Stroke_Length,User_Used_Stroke_Length,O4)</f>
        <v>-800</v>
      </c>
    </row>
    <row r="5" spans="1:18" x14ac:dyDescent="0.25">
      <c r="A5" t="s">
        <v>802</v>
      </c>
      <c r="B5">
        <f>Excenter_Stroke/2</f>
        <v>250</v>
      </c>
      <c r="F5">
        <f t="shared" ca="1" si="0"/>
        <v>0</v>
      </c>
      <c r="G5">
        <f t="shared" si="1"/>
        <v>7.5000000000000011E-2</v>
      </c>
      <c r="H5">
        <v>1.2500000000000001E-2</v>
      </c>
      <c r="I5">
        <f t="shared" ref="I5:I68" si="8">H5*2*PI()</f>
        <v>7.8539816339744828E-2</v>
      </c>
      <c r="J5">
        <f t="shared" si="2"/>
        <v>648.74811977955392</v>
      </c>
      <c r="K5">
        <f t="shared" ref="K5:K68" si="9">J5-$B$11</f>
        <v>498.74811977955392</v>
      </c>
      <c r="L5">
        <f t="shared" si="3"/>
        <v>-10</v>
      </c>
      <c r="M5">
        <f t="shared" ca="1" si="4"/>
        <v>5</v>
      </c>
      <c r="N5">
        <f t="shared" ca="1" si="5"/>
        <v>5</v>
      </c>
      <c r="O5">
        <f t="shared" ca="1" si="6"/>
        <v>-785</v>
      </c>
      <c r="P5">
        <f t="shared" ca="1" si="7"/>
        <v>-785</v>
      </c>
      <c r="Q5">
        <f>SLOPE(K4:K6,G4:G6)</f>
        <v>-33.295737593386995</v>
      </c>
      <c r="R5">
        <f>Q5/1000</f>
        <v>-3.3295737593386998E-2</v>
      </c>
    </row>
    <row r="6" spans="1:18" x14ac:dyDescent="0.25">
      <c r="A6" t="s">
        <v>803</v>
      </c>
      <c r="B6" s="20">
        <f>rod_length</f>
        <v>400</v>
      </c>
      <c r="C6" t="s">
        <v>7</v>
      </c>
      <c r="F6">
        <f t="shared" ca="1" si="0"/>
        <v>0</v>
      </c>
      <c r="G6">
        <f t="shared" si="1"/>
        <v>0.15000000000000002</v>
      </c>
      <c r="H6">
        <v>2.5000000000000001E-2</v>
      </c>
      <c r="I6">
        <f t="shared" si="8"/>
        <v>0.15707963267948966</v>
      </c>
      <c r="J6">
        <f t="shared" si="2"/>
        <v>645.00563936099195</v>
      </c>
      <c r="K6">
        <f t="shared" si="9"/>
        <v>495.00563936099195</v>
      </c>
      <c r="L6">
        <f t="shared" si="3"/>
        <v>-10</v>
      </c>
      <c r="M6">
        <f t="shared" ca="1" si="4"/>
        <v>5</v>
      </c>
      <c r="N6">
        <f t="shared" ca="1" si="5"/>
        <v>5</v>
      </c>
      <c r="O6">
        <f t="shared" ca="1" si="6"/>
        <v>-770</v>
      </c>
      <c r="P6">
        <f t="shared" ca="1" si="7"/>
        <v>-770</v>
      </c>
      <c r="Q6">
        <f t="shared" ref="Q6:Q69" si="10">SLOPE(K5:K7,G5:G7)</f>
        <v>-66.240668383128821</v>
      </c>
      <c r="R6">
        <f t="shared" ref="R6:R69" si="11">Q6/1000</f>
        <v>-6.6240668383128823E-2</v>
      </c>
    </row>
    <row r="7" spans="1:18" x14ac:dyDescent="0.25">
      <c r="F7">
        <f t="shared" ca="1" si="0"/>
        <v>0</v>
      </c>
      <c r="G7">
        <f t="shared" si="1"/>
        <v>0.22499999999999998</v>
      </c>
      <c r="H7">
        <v>3.7499999999999999E-2</v>
      </c>
      <c r="I7">
        <f t="shared" si="8"/>
        <v>0.23561944901923448</v>
      </c>
      <c r="J7">
        <f t="shared" si="2"/>
        <v>638.8120195220846</v>
      </c>
      <c r="K7">
        <f t="shared" si="9"/>
        <v>488.8120195220846</v>
      </c>
      <c r="L7">
        <f t="shared" si="3"/>
        <v>-10</v>
      </c>
      <c r="M7">
        <f t="shared" ca="1" si="4"/>
        <v>5</v>
      </c>
      <c r="N7">
        <f t="shared" ca="1" si="5"/>
        <v>5</v>
      </c>
      <c r="O7">
        <f t="shared" ca="1" si="6"/>
        <v>-755</v>
      </c>
      <c r="P7">
        <f t="shared" ca="1" si="7"/>
        <v>-755</v>
      </c>
      <c r="Q7">
        <f t="shared" si="10"/>
        <v>-98.484547540735235</v>
      </c>
      <c r="R7">
        <f t="shared" si="11"/>
        <v>-9.848454754073524E-2</v>
      </c>
    </row>
    <row r="8" spans="1:18" x14ac:dyDescent="0.25">
      <c r="A8" t="s">
        <v>804</v>
      </c>
      <c r="B8">
        <f>60/User_Strokes_per_Minute</f>
        <v>6</v>
      </c>
      <c r="F8">
        <f t="shared" ca="1" si="0"/>
        <v>0</v>
      </c>
      <c r="G8">
        <f t="shared" si="1"/>
        <v>0.30000000000000004</v>
      </c>
      <c r="H8">
        <v>0.05</v>
      </c>
      <c r="I8">
        <f t="shared" si="8"/>
        <v>0.31415926535897931</v>
      </c>
      <c r="J8">
        <f t="shared" si="2"/>
        <v>630.23295722988166</v>
      </c>
      <c r="K8">
        <f t="shared" si="9"/>
        <v>480.23295722988166</v>
      </c>
      <c r="L8">
        <f t="shared" si="3"/>
        <v>-10</v>
      </c>
      <c r="M8">
        <f t="shared" ca="1" si="4"/>
        <v>5</v>
      </c>
      <c r="N8">
        <f t="shared" ca="1" si="5"/>
        <v>5</v>
      </c>
      <c r="O8">
        <f t="shared" ca="1" si="6"/>
        <v>-740</v>
      </c>
      <c r="P8">
        <f t="shared" ca="1" si="7"/>
        <v>-740</v>
      </c>
      <c r="Q8">
        <f t="shared" si="10"/>
        <v>-129.6783790897469</v>
      </c>
      <c r="R8">
        <f t="shared" si="11"/>
        <v>-0.12967837908974689</v>
      </c>
    </row>
    <row r="9" spans="1:18" x14ac:dyDescent="0.25">
      <c r="F9">
        <f t="shared" ca="1" si="0"/>
        <v>0</v>
      </c>
      <c r="G9">
        <f t="shared" si="1"/>
        <v>0.375</v>
      </c>
      <c r="H9">
        <v>6.25E-2</v>
      </c>
      <c r="I9">
        <f t="shared" si="8"/>
        <v>0.39269908169872414</v>
      </c>
      <c r="J9">
        <f t="shared" si="2"/>
        <v>619.36026265862256</v>
      </c>
      <c r="K9">
        <f t="shared" si="9"/>
        <v>469.36026265862256</v>
      </c>
      <c r="L9">
        <f t="shared" si="3"/>
        <v>-10</v>
      </c>
      <c r="M9">
        <f t="shared" ca="1" si="4"/>
        <v>5</v>
      </c>
      <c r="N9">
        <f t="shared" ca="1" si="5"/>
        <v>5</v>
      </c>
      <c r="O9">
        <f t="shared" ca="1" si="6"/>
        <v>-725</v>
      </c>
      <c r="P9">
        <f t="shared" ca="1" si="7"/>
        <v>-725</v>
      </c>
      <c r="Q9">
        <f t="shared" si="10"/>
        <v>-159.4753728856177</v>
      </c>
      <c r="R9">
        <f t="shared" si="11"/>
        <v>-0.15947537288561769</v>
      </c>
    </row>
    <row r="10" spans="1:18" x14ac:dyDescent="0.25">
      <c r="F10">
        <f t="shared" ca="1" si="0"/>
        <v>0</v>
      </c>
      <c r="G10">
        <f t="shared" si="1"/>
        <v>0.44999999999999996</v>
      </c>
      <c r="H10">
        <v>7.4999999999999997E-2</v>
      </c>
      <c r="I10">
        <f t="shared" si="8"/>
        <v>0.47123889803846897</v>
      </c>
      <c r="J10">
        <f t="shared" si="2"/>
        <v>606.31165129703902</v>
      </c>
      <c r="K10">
        <f t="shared" si="9"/>
        <v>456.31165129703902</v>
      </c>
      <c r="L10">
        <f t="shared" si="3"/>
        <v>-10</v>
      </c>
      <c r="M10">
        <f t="shared" ca="1" si="4"/>
        <v>5</v>
      </c>
      <c r="N10">
        <f t="shared" ca="1" si="5"/>
        <v>5</v>
      </c>
      <c r="O10">
        <f t="shared" ca="1" si="6"/>
        <v>-710</v>
      </c>
      <c r="P10">
        <f t="shared" ca="1" si="7"/>
        <v>-710</v>
      </c>
      <c r="Q10">
        <f t="shared" si="10"/>
        <v>-187.53235751130441</v>
      </c>
      <c r="R10">
        <f t="shared" si="11"/>
        <v>-0.1875323575113044</v>
      </c>
    </row>
    <row r="11" spans="1:18" x14ac:dyDescent="0.25">
      <c r="B11">
        <f>MIN(J4:J44)</f>
        <v>150</v>
      </c>
      <c r="F11">
        <f t="shared" ca="1" si="0"/>
        <v>0</v>
      </c>
      <c r="G11">
        <f t="shared" si="1"/>
        <v>0.52499999999999991</v>
      </c>
      <c r="H11">
        <v>8.7499999999999994E-2</v>
      </c>
      <c r="I11">
        <f t="shared" si="8"/>
        <v>0.5497787143782138</v>
      </c>
      <c r="J11">
        <f t="shared" si="2"/>
        <v>591.23040903192691</v>
      </c>
      <c r="K11">
        <f t="shared" si="9"/>
        <v>441.23040903192691</v>
      </c>
      <c r="L11">
        <f t="shared" si="3"/>
        <v>-10</v>
      </c>
      <c r="M11">
        <f t="shared" ca="1" si="4"/>
        <v>5</v>
      </c>
      <c r="N11">
        <f t="shared" ca="1" si="5"/>
        <v>5</v>
      </c>
      <c r="O11">
        <f t="shared" ca="1" si="6"/>
        <v>-695</v>
      </c>
      <c r="P11">
        <f t="shared" ca="1" si="7"/>
        <v>-695</v>
      </c>
      <c r="Q11">
        <f t="shared" si="10"/>
        <v>-213.51189493306472</v>
      </c>
      <c r="R11">
        <f t="shared" si="11"/>
        <v>-0.21351189493306472</v>
      </c>
    </row>
    <row r="12" spans="1:18" x14ac:dyDescent="0.25">
      <c r="F12">
        <f t="shared" ca="1" si="0"/>
        <v>0</v>
      </c>
      <c r="G12">
        <f t="shared" si="1"/>
        <v>0.60000000000000009</v>
      </c>
      <c r="H12">
        <v>0.1</v>
      </c>
      <c r="I12">
        <f t="shared" si="8"/>
        <v>0.62831853071795862</v>
      </c>
      <c r="J12">
        <f t="shared" si="2"/>
        <v>574.28486705707928</v>
      </c>
      <c r="K12">
        <f t="shared" si="9"/>
        <v>424.28486705707928</v>
      </c>
      <c r="L12">
        <f t="shared" si="3"/>
        <v>-10</v>
      </c>
      <c r="M12">
        <f t="shared" ca="1" si="4"/>
        <v>5</v>
      </c>
      <c r="N12">
        <f t="shared" ca="1" si="5"/>
        <v>5</v>
      </c>
      <c r="O12">
        <f t="shared" ca="1" si="6"/>
        <v>-680</v>
      </c>
      <c r="P12">
        <f t="shared" ca="1" si="7"/>
        <v>-680</v>
      </c>
      <c r="Q12">
        <f t="shared" si="10"/>
        <v>-237.0854183883267</v>
      </c>
      <c r="R12">
        <f t="shared" si="11"/>
        <v>-0.2370854183883267</v>
      </c>
    </row>
    <row r="13" spans="1:18" x14ac:dyDescent="0.25">
      <c r="A13" t="s">
        <v>805</v>
      </c>
      <c r="B13">
        <f ca="1">User_Used_Stroke_Length</f>
        <v>5</v>
      </c>
      <c r="F13">
        <f t="shared" ca="1" si="0"/>
        <v>0</v>
      </c>
      <c r="G13">
        <f t="shared" si="1"/>
        <v>0.67500000000000004</v>
      </c>
      <c r="H13">
        <v>0.1125</v>
      </c>
      <c r="I13">
        <f t="shared" si="8"/>
        <v>0.70685834705770345</v>
      </c>
      <c r="J13">
        <f t="shared" si="2"/>
        <v>555.66759627367787</v>
      </c>
      <c r="K13">
        <f t="shared" si="9"/>
        <v>405.66759627367787</v>
      </c>
      <c r="L13">
        <f t="shared" si="3"/>
        <v>-10</v>
      </c>
      <c r="M13">
        <f t="shared" ca="1" si="4"/>
        <v>5</v>
      </c>
      <c r="N13">
        <f t="shared" ca="1" si="5"/>
        <v>5</v>
      </c>
      <c r="O13">
        <f t="shared" ca="1" si="6"/>
        <v>-665</v>
      </c>
      <c r="P13">
        <f t="shared" ca="1" si="7"/>
        <v>-665</v>
      </c>
      <c r="Q13">
        <f t="shared" si="10"/>
        <v>-257.93779600172928</v>
      </c>
      <c r="R13">
        <f t="shared" si="11"/>
        <v>-0.25793779600172928</v>
      </c>
    </row>
    <row r="14" spans="1:18" x14ac:dyDescent="0.25">
      <c r="A14" t="s">
        <v>806</v>
      </c>
      <c r="B14">
        <f ca="1">Return_Speed</f>
        <v>0.2</v>
      </c>
      <c r="F14">
        <f t="shared" ca="1" si="0"/>
        <v>0</v>
      </c>
      <c r="G14">
        <f t="shared" si="1"/>
        <v>0.75</v>
      </c>
      <c r="H14">
        <v>0.125</v>
      </c>
      <c r="I14">
        <f t="shared" si="8"/>
        <v>0.78539816339744828</v>
      </c>
      <c r="J14">
        <f t="shared" si="2"/>
        <v>535.59419765681992</v>
      </c>
      <c r="K14">
        <f t="shared" si="9"/>
        <v>385.59419765681992</v>
      </c>
      <c r="L14">
        <f t="shared" si="3"/>
        <v>-10</v>
      </c>
      <c r="M14">
        <f t="shared" ca="1" si="4"/>
        <v>5</v>
      </c>
      <c r="N14">
        <f t="shared" ca="1" si="5"/>
        <v>5</v>
      </c>
      <c r="O14">
        <f t="shared" ca="1" si="6"/>
        <v>-650</v>
      </c>
      <c r="P14">
        <f t="shared" ca="1" si="7"/>
        <v>-650</v>
      </c>
      <c r="Q14">
        <f t="shared" si="10"/>
        <v>-275.77378751297977</v>
      </c>
      <c r="R14">
        <f t="shared" si="11"/>
        <v>-0.27577378751297976</v>
      </c>
    </row>
    <row r="15" spans="1:18" x14ac:dyDescent="0.25">
      <c r="A15" t="s">
        <v>807</v>
      </c>
      <c r="B15">
        <f ca="1">Returtid</f>
        <v>2.5000000000000001E-2</v>
      </c>
      <c r="F15">
        <f t="shared" ca="1" si="0"/>
        <v>0</v>
      </c>
      <c r="G15">
        <f t="shared" si="1"/>
        <v>0.82500000000000007</v>
      </c>
      <c r="H15">
        <v>0.13750000000000001</v>
      </c>
      <c r="I15">
        <f t="shared" si="8"/>
        <v>0.86393797973719322</v>
      </c>
      <c r="J15">
        <f t="shared" si="2"/>
        <v>514.3015281467309</v>
      </c>
      <c r="K15">
        <f t="shared" si="9"/>
        <v>364.3015281467309</v>
      </c>
      <c r="L15">
        <f t="shared" si="3"/>
        <v>-10</v>
      </c>
      <c r="M15">
        <f t="shared" ca="1" si="4"/>
        <v>5</v>
      </c>
      <c r="N15">
        <f t="shared" ca="1" si="5"/>
        <v>5</v>
      </c>
      <c r="O15">
        <f t="shared" ca="1" si="6"/>
        <v>-635</v>
      </c>
      <c r="P15">
        <f t="shared" ca="1" si="7"/>
        <v>-635</v>
      </c>
      <c r="Q15">
        <f t="shared" si="10"/>
        <v>-290.32687158506383</v>
      </c>
      <c r="R15">
        <f t="shared" si="11"/>
        <v>-0.29032687158506382</v>
      </c>
    </row>
    <row r="16" spans="1:18" x14ac:dyDescent="0.25">
      <c r="F16">
        <f t="shared" ca="1" si="0"/>
        <v>0</v>
      </c>
      <c r="G16">
        <f t="shared" si="1"/>
        <v>0.89999999999999991</v>
      </c>
      <c r="H16">
        <v>0.15</v>
      </c>
      <c r="I16">
        <f t="shared" si="8"/>
        <v>0.94247779607693793</v>
      </c>
      <c r="J16">
        <f t="shared" si="2"/>
        <v>492.04516691906036</v>
      </c>
      <c r="K16">
        <f t="shared" si="9"/>
        <v>342.04516691906036</v>
      </c>
      <c r="L16">
        <f t="shared" si="3"/>
        <v>-10</v>
      </c>
      <c r="M16">
        <f t="shared" ca="1" si="4"/>
        <v>5</v>
      </c>
      <c r="N16">
        <f t="shared" ca="1" si="5"/>
        <v>5</v>
      </c>
      <c r="O16">
        <f t="shared" ca="1" si="6"/>
        <v>-620</v>
      </c>
      <c r="P16">
        <f t="shared" ca="1" si="7"/>
        <v>-620</v>
      </c>
      <c r="Q16">
        <f t="shared" si="10"/>
        <v>-301.37081654114274</v>
      </c>
      <c r="R16">
        <f t="shared" si="11"/>
        <v>-0.30137081654114273</v>
      </c>
    </row>
    <row r="17" spans="1:18" x14ac:dyDescent="0.25">
      <c r="F17">
        <f t="shared" ca="1" si="0"/>
        <v>0</v>
      </c>
      <c r="G17">
        <f t="shared" si="1"/>
        <v>0.97500000000000009</v>
      </c>
      <c r="H17">
        <v>0.16250000000000001</v>
      </c>
      <c r="I17">
        <f t="shared" si="8"/>
        <v>1.0210176124166828</v>
      </c>
      <c r="J17">
        <f t="shared" si="2"/>
        <v>469.09590566555948</v>
      </c>
      <c r="K17">
        <f t="shared" si="9"/>
        <v>319.09590566555948</v>
      </c>
      <c r="L17">
        <f t="shared" si="3"/>
        <v>-10</v>
      </c>
      <c r="M17">
        <f t="shared" ca="1" si="4"/>
        <v>5</v>
      </c>
      <c r="N17">
        <f t="shared" ca="1" si="5"/>
        <v>5</v>
      </c>
      <c r="O17">
        <f t="shared" ca="1" si="6"/>
        <v>-605</v>
      </c>
      <c r="P17">
        <f t="shared" ca="1" si="7"/>
        <v>-605</v>
      </c>
      <c r="Q17">
        <f t="shared" si="10"/>
        <v>-308.73407013384798</v>
      </c>
      <c r="R17">
        <f t="shared" si="11"/>
        <v>-0.30873407013384796</v>
      </c>
    </row>
    <row r="18" spans="1:18" x14ac:dyDescent="0.25">
      <c r="A18" t="s">
        <v>818</v>
      </c>
      <c r="B18">
        <f ca="1">ABS(ROUND(VLOOKUP(1,F5:R84,13,FALSE),2))</f>
        <v>0.03</v>
      </c>
      <c r="F18">
        <f t="shared" ca="1" si="0"/>
        <v>0</v>
      </c>
      <c r="G18">
        <f t="shared" si="1"/>
        <v>1.0499999999999998</v>
      </c>
      <c r="H18">
        <v>0.17499999999999999</v>
      </c>
      <c r="I18">
        <f t="shared" si="8"/>
        <v>1.0995574287564276</v>
      </c>
      <c r="J18">
        <f t="shared" si="2"/>
        <v>445.7350563989832</v>
      </c>
      <c r="K18">
        <f t="shared" si="9"/>
        <v>295.7350563989832</v>
      </c>
      <c r="L18">
        <f t="shared" si="3"/>
        <v>-10</v>
      </c>
      <c r="M18">
        <f t="shared" ca="1" si="4"/>
        <v>5</v>
      </c>
      <c r="N18">
        <f t="shared" ca="1" si="5"/>
        <v>5</v>
      </c>
      <c r="O18">
        <f t="shared" ca="1" si="6"/>
        <v>-590</v>
      </c>
      <c r="P18">
        <f t="shared" ca="1" si="7"/>
        <v>-590</v>
      </c>
      <c r="Q18">
        <f t="shared" si="10"/>
        <v>-312.31647775508935</v>
      </c>
      <c r="R18">
        <f t="shared" si="11"/>
        <v>-0.31231647775508936</v>
      </c>
    </row>
    <row r="19" spans="1:18" x14ac:dyDescent="0.25">
      <c r="F19">
        <f t="shared" ca="1" si="0"/>
        <v>0</v>
      </c>
      <c r="G19">
        <f t="shared" si="1"/>
        <v>1.125</v>
      </c>
      <c r="H19">
        <v>0.1875</v>
      </c>
      <c r="I19">
        <f t="shared" si="8"/>
        <v>1.1780972450961724</v>
      </c>
      <c r="J19">
        <f t="shared" si="2"/>
        <v>422.24843400229611</v>
      </c>
      <c r="K19">
        <f t="shared" si="9"/>
        <v>272.24843400229611</v>
      </c>
      <c r="L19">
        <f t="shared" si="3"/>
        <v>-10</v>
      </c>
      <c r="M19">
        <f t="shared" ca="1" si="4"/>
        <v>5</v>
      </c>
      <c r="N19">
        <f t="shared" ca="1" si="5"/>
        <v>5</v>
      </c>
      <c r="O19">
        <f t="shared" ca="1" si="6"/>
        <v>-575</v>
      </c>
      <c r="P19">
        <f t="shared" ca="1" si="7"/>
        <v>-575</v>
      </c>
      <c r="Q19">
        <f t="shared" si="10"/>
        <v>-312.10697397005111</v>
      </c>
      <c r="R19">
        <f t="shared" si="11"/>
        <v>-0.3121069739700511</v>
      </c>
    </row>
    <row r="20" spans="1:18" x14ac:dyDescent="0.25">
      <c r="A20" t="s">
        <v>820</v>
      </c>
      <c r="B20">
        <f>ROUND(MAX(R5:R84),2)</f>
        <v>0.31</v>
      </c>
      <c r="F20">
        <f t="shared" ca="1" si="0"/>
        <v>0</v>
      </c>
      <c r="G20">
        <f t="shared" si="1"/>
        <v>1.2000000000000002</v>
      </c>
      <c r="H20">
        <v>0.2</v>
      </c>
      <c r="I20">
        <f t="shared" si="8"/>
        <v>1.2566370614359172</v>
      </c>
      <c r="J20">
        <f t="shared" si="2"/>
        <v>398.91901030347543</v>
      </c>
      <c r="K20">
        <f t="shared" si="9"/>
        <v>248.91901030347543</v>
      </c>
      <c r="L20">
        <f t="shared" si="3"/>
        <v>-10</v>
      </c>
      <c r="M20">
        <f t="shared" ca="1" si="4"/>
        <v>5</v>
      </c>
      <c r="N20">
        <f t="shared" ca="1" si="5"/>
        <v>5</v>
      </c>
      <c r="O20">
        <f t="shared" ca="1" si="6"/>
        <v>-560</v>
      </c>
      <c r="P20">
        <f t="shared" ca="1" si="7"/>
        <v>-560</v>
      </c>
      <c r="Q20">
        <f t="shared" si="10"/>
        <v>-308.19981781657646</v>
      </c>
      <c r="R20">
        <f t="shared" si="11"/>
        <v>-0.30819981781657646</v>
      </c>
    </row>
    <row r="21" spans="1:18" x14ac:dyDescent="0.25">
      <c r="F21">
        <f t="shared" ca="1" si="0"/>
        <v>0</v>
      </c>
      <c r="G21">
        <f t="shared" si="1"/>
        <v>1.2749999999999999</v>
      </c>
      <c r="H21">
        <v>0.21249999999999999</v>
      </c>
      <c r="I21">
        <f t="shared" si="8"/>
        <v>1.3351768777756621</v>
      </c>
      <c r="J21">
        <f t="shared" si="2"/>
        <v>376.01846132980967</v>
      </c>
      <c r="K21">
        <f t="shared" si="9"/>
        <v>226.01846132980967</v>
      </c>
      <c r="L21">
        <f t="shared" si="3"/>
        <v>-10</v>
      </c>
      <c r="M21">
        <f t="shared" ca="1" si="4"/>
        <v>5</v>
      </c>
      <c r="N21">
        <f t="shared" ca="1" si="5"/>
        <v>5</v>
      </c>
      <c r="O21">
        <f t="shared" ca="1" si="6"/>
        <v>-545</v>
      </c>
      <c r="P21">
        <f t="shared" ca="1" si="7"/>
        <v>-545</v>
      </c>
      <c r="Q21">
        <f t="shared" si="10"/>
        <v>-300.80593427940636</v>
      </c>
      <c r="R21">
        <f t="shared" si="11"/>
        <v>-0.30080593427940638</v>
      </c>
    </row>
    <row r="22" spans="1:18" x14ac:dyDescent="0.25">
      <c r="F22">
        <f t="shared" ca="1" si="0"/>
        <v>0</v>
      </c>
      <c r="G22">
        <f t="shared" si="1"/>
        <v>1.35</v>
      </c>
      <c r="H22">
        <v>0.22500000000000001</v>
      </c>
      <c r="I22">
        <f t="shared" si="8"/>
        <v>1.4137166941154069</v>
      </c>
      <c r="J22">
        <f t="shared" si="2"/>
        <v>353.7981201615645</v>
      </c>
      <c r="K22">
        <f t="shared" si="9"/>
        <v>203.7981201615645</v>
      </c>
      <c r="L22">
        <f t="shared" si="3"/>
        <v>-10</v>
      </c>
      <c r="M22">
        <f t="shared" ca="1" si="4"/>
        <v>5</v>
      </c>
      <c r="N22">
        <f t="shared" ca="1" si="5"/>
        <v>5</v>
      </c>
      <c r="O22">
        <f t="shared" ca="1" si="6"/>
        <v>-530</v>
      </c>
      <c r="P22">
        <f t="shared" ca="1" si="7"/>
        <v>-530</v>
      </c>
      <c r="Q22">
        <f t="shared" si="10"/>
        <v>-290.2554534617189</v>
      </c>
      <c r="R22">
        <f t="shared" si="11"/>
        <v>-0.29025545346171888</v>
      </c>
    </row>
    <row r="23" spans="1:18" x14ac:dyDescent="0.25">
      <c r="F23">
        <f t="shared" ca="1" si="0"/>
        <v>0</v>
      </c>
      <c r="G23">
        <f t="shared" si="1"/>
        <v>1.4249999999999998</v>
      </c>
      <c r="H23">
        <v>0.23749999999999999</v>
      </c>
      <c r="I23">
        <f t="shared" si="8"/>
        <v>1.4922565104551517</v>
      </c>
      <c r="J23">
        <f t="shared" si="2"/>
        <v>332.48014331055185</v>
      </c>
      <c r="K23">
        <f t="shared" si="9"/>
        <v>182.48014331055185</v>
      </c>
      <c r="L23">
        <f t="shared" si="3"/>
        <v>-10</v>
      </c>
      <c r="M23">
        <f t="shared" ca="1" si="4"/>
        <v>5</v>
      </c>
      <c r="N23">
        <f t="shared" ca="1" si="5"/>
        <v>5</v>
      </c>
      <c r="O23">
        <f t="shared" ca="1" si="6"/>
        <v>-515</v>
      </c>
      <c r="P23">
        <f t="shared" ca="1" si="7"/>
        <v>-515</v>
      </c>
      <c r="Q23">
        <f t="shared" si="10"/>
        <v>-276.98813494429731</v>
      </c>
      <c r="R23">
        <f t="shared" si="11"/>
        <v>-0.2769881349442973</v>
      </c>
    </row>
    <row r="24" spans="1:18" x14ac:dyDescent="0.25">
      <c r="F24">
        <f t="shared" ca="1" si="0"/>
        <v>0</v>
      </c>
      <c r="G24">
        <f t="shared" si="1"/>
        <v>1.5</v>
      </c>
      <c r="H24">
        <v>0.25</v>
      </c>
      <c r="I24">
        <f t="shared" si="8"/>
        <v>1.5707963267948966</v>
      </c>
      <c r="J24">
        <f t="shared" si="2"/>
        <v>312.24989991991993</v>
      </c>
      <c r="K24">
        <f t="shared" si="9"/>
        <v>162.24989991991993</v>
      </c>
      <c r="L24">
        <f t="shared" si="3"/>
        <v>-10</v>
      </c>
      <c r="M24">
        <f t="shared" ca="1" si="4"/>
        <v>5</v>
      </c>
      <c r="N24">
        <f t="shared" ca="1" si="5"/>
        <v>5</v>
      </c>
      <c r="O24">
        <f t="shared" ca="1" si="6"/>
        <v>-500</v>
      </c>
      <c r="P24">
        <f t="shared" ca="1" si="7"/>
        <v>-500</v>
      </c>
      <c r="Q24">
        <f t="shared" si="10"/>
        <v>-261.53031909281572</v>
      </c>
      <c r="R24">
        <f t="shared" si="11"/>
        <v>-0.26153031909281571</v>
      </c>
    </row>
    <row r="25" spans="1:18" x14ac:dyDescent="0.25">
      <c r="F25">
        <f t="shared" ca="1" si="0"/>
        <v>0</v>
      </c>
      <c r="G25">
        <f t="shared" si="1"/>
        <v>1.5750000000000002</v>
      </c>
      <c r="H25">
        <v>0.26250000000000001</v>
      </c>
      <c r="I25">
        <f t="shared" si="8"/>
        <v>1.6493361431346414</v>
      </c>
      <c r="J25">
        <f t="shared" si="2"/>
        <v>293.2505954466294</v>
      </c>
      <c r="K25">
        <f t="shared" si="9"/>
        <v>143.2505954466294</v>
      </c>
      <c r="L25">
        <f t="shared" si="3"/>
        <v>-10</v>
      </c>
      <c r="M25">
        <f t="shared" ca="1" si="4"/>
        <v>5</v>
      </c>
      <c r="N25">
        <f t="shared" ca="1" si="5"/>
        <v>5</v>
      </c>
      <c r="O25">
        <f t="shared" ca="1" si="6"/>
        <v>-484.99999999999994</v>
      </c>
      <c r="P25">
        <f t="shared" ca="1" si="7"/>
        <v>-484.99999999999994</v>
      </c>
      <c r="Q25">
        <f t="shared" si="10"/>
        <v>-244.46008185647256</v>
      </c>
      <c r="R25">
        <f t="shared" si="11"/>
        <v>-0.24446008185647256</v>
      </c>
    </row>
    <row r="26" spans="1:18" x14ac:dyDescent="0.25">
      <c r="F26">
        <f t="shared" ca="1" si="0"/>
        <v>0</v>
      </c>
      <c r="G26">
        <f t="shared" si="1"/>
        <v>1.6500000000000001</v>
      </c>
      <c r="H26">
        <v>0.27500000000000002</v>
      </c>
      <c r="I26">
        <f t="shared" si="8"/>
        <v>1.7278759594743864</v>
      </c>
      <c r="J26">
        <f t="shared" si="2"/>
        <v>275.58088764144901</v>
      </c>
      <c r="K26">
        <f t="shared" si="9"/>
        <v>125.58088764144901</v>
      </c>
      <c r="L26">
        <f t="shared" si="3"/>
        <v>-10</v>
      </c>
      <c r="M26">
        <f t="shared" ca="1" si="4"/>
        <v>5</v>
      </c>
      <c r="N26">
        <f t="shared" ca="1" si="5"/>
        <v>5</v>
      </c>
      <c r="O26">
        <f t="shared" ca="1" si="6"/>
        <v>-470</v>
      </c>
      <c r="P26">
        <f t="shared" ca="1" si="7"/>
        <v>-470</v>
      </c>
      <c r="Q26">
        <f t="shared" si="10"/>
        <v>-226.36544029848295</v>
      </c>
      <c r="R26">
        <f t="shared" si="11"/>
        <v>-0.22636544029848296</v>
      </c>
    </row>
    <row r="27" spans="1:18" x14ac:dyDescent="0.25">
      <c r="F27">
        <f t="shared" ca="1" si="0"/>
        <v>0</v>
      </c>
      <c r="G27">
        <f t="shared" si="1"/>
        <v>1.7249999999999999</v>
      </c>
      <c r="H27">
        <v>0.28749999999999998</v>
      </c>
      <c r="I27">
        <f t="shared" si="8"/>
        <v>1.8064157758141308</v>
      </c>
      <c r="J27">
        <f t="shared" si="2"/>
        <v>259.29577940185703</v>
      </c>
      <c r="K27">
        <f t="shared" si="9"/>
        <v>109.29577940185703</v>
      </c>
      <c r="L27">
        <f t="shared" si="3"/>
        <v>-10</v>
      </c>
      <c r="M27">
        <f t="shared" ca="1" si="4"/>
        <v>5</v>
      </c>
      <c r="N27">
        <f t="shared" ca="1" si="5"/>
        <v>5</v>
      </c>
      <c r="O27">
        <f t="shared" ca="1" si="6"/>
        <v>-455</v>
      </c>
      <c r="P27">
        <f t="shared" ca="1" si="7"/>
        <v>-455</v>
      </c>
      <c r="Q27">
        <f t="shared" si="10"/>
        <v>-207.80249683631553</v>
      </c>
      <c r="R27">
        <f t="shared" si="11"/>
        <v>-0.20780249683631552</v>
      </c>
    </row>
    <row r="28" spans="1:18" x14ac:dyDescent="0.25">
      <c r="F28">
        <f t="shared" ca="1" si="0"/>
        <v>0</v>
      </c>
      <c r="G28">
        <f t="shared" si="1"/>
        <v>1.7999999999999998</v>
      </c>
      <c r="H28">
        <v>0.3</v>
      </c>
      <c r="I28">
        <f t="shared" si="8"/>
        <v>1.8849555921538759</v>
      </c>
      <c r="J28">
        <f t="shared" si="2"/>
        <v>244.41051311600174</v>
      </c>
      <c r="K28">
        <f t="shared" si="9"/>
        <v>94.410513116001738</v>
      </c>
      <c r="L28">
        <f t="shared" si="3"/>
        <v>-10</v>
      </c>
      <c r="M28">
        <f t="shared" ca="1" si="4"/>
        <v>5</v>
      </c>
      <c r="N28">
        <f t="shared" ca="1" si="5"/>
        <v>5</v>
      </c>
      <c r="O28">
        <f t="shared" ca="1" si="6"/>
        <v>-440.00000000000006</v>
      </c>
      <c r="P28">
        <f t="shared" ca="1" si="7"/>
        <v>-440.00000000000006</v>
      </c>
      <c r="Q28">
        <f t="shared" si="10"/>
        <v>-189.260410547372</v>
      </c>
      <c r="R28">
        <f t="shared" si="11"/>
        <v>-0.189260410547372</v>
      </c>
    </row>
    <row r="29" spans="1:18" x14ac:dyDescent="0.25">
      <c r="F29">
        <f t="shared" ca="1" si="0"/>
        <v>0</v>
      </c>
      <c r="G29">
        <f t="shared" si="1"/>
        <v>1.875</v>
      </c>
      <c r="H29">
        <v>0.3125</v>
      </c>
      <c r="I29">
        <f t="shared" si="8"/>
        <v>1.9634954084936207</v>
      </c>
      <c r="J29">
        <f t="shared" si="2"/>
        <v>230.90671781975121</v>
      </c>
      <c r="K29">
        <f t="shared" si="9"/>
        <v>80.906717819751208</v>
      </c>
      <c r="L29">
        <f t="shared" si="3"/>
        <v>-10</v>
      </c>
      <c r="M29">
        <f t="shared" ca="1" si="4"/>
        <v>5</v>
      </c>
      <c r="N29">
        <f t="shared" ca="1" si="5"/>
        <v>5</v>
      </c>
      <c r="O29">
        <f t="shared" ca="1" si="6"/>
        <v>-425</v>
      </c>
      <c r="P29">
        <f t="shared" ca="1" si="7"/>
        <v>-425</v>
      </c>
      <c r="Q29">
        <f t="shared" si="10"/>
        <v>-171.13804391194603</v>
      </c>
      <c r="R29">
        <f t="shared" si="11"/>
        <v>-0.17113804391194604</v>
      </c>
    </row>
    <row r="30" spans="1:18" x14ac:dyDescent="0.25">
      <c r="F30">
        <f t="shared" ca="1" si="0"/>
        <v>0</v>
      </c>
      <c r="G30">
        <f t="shared" si="1"/>
        <v>1.9500000000000002</v>
      </c>
      <c r="H30">
        <v>0.32500000000000001</v>
      </c>
      <c r="I30">
        <f t="shared" si="8"/>
        <v>2.0420352248333655</v>
      </c>
      <c r="J30">
        <f t="shared" si="2"/>
        <v>218.73980652920977</v>
      </c>
      <c r="K30">
        <f t="shared" si="9"/>
        <v>68.739806529209773</v>
      </c>
      <c r="L30">
        <f t="shared" si="3"/>
        <v>-10</v>
      </c>
      <c r="M30">
        <f t="shared" ca="1" si="4"/>
        <v>5</v>
      </c>
      <c r="N30">
        <f t="shared" ca="1" si="5"/>
        <v>5</v>
      </c>
      <c r="O30">
        <f t="shared" ca="1" si="6"/>
        <v>-409.99999999999994</v>
      </c>
      <c r="P30">
        <f t="shared" ca="1" si="7"/>
        <v>-409.99999999999994</v>
      </c>
      <c r="Q30">
        <f t="shared" si="10"/>
        <v>-153.73396341444069</v>
      </c>
      <c r="R30">
        <f t="shared" si="11"/>
        <v>-0.15373396341444071</v>
      </c>
    </row>
    <row r="31" spans="1:18" x14ac:dyDescent="0.25">
      <c r="F31">
        <f t="shared" ca="1" si="0"/>
        <v>0</v>
      </c>
      <c r="G31">
        <f t="shared" si="1"/>
        <v>2.0250000000000004</v>
      </c>
      <c r="H31">
        <v>0.33750000000000002</v>
      </c>
      <c r="I31">
        <f t="shared" si="8"/>
        <v>2.1205750411731104</v>
      </c>
      <c r="J31">
        <f t="shared" si="2"/>
        <v>207.84662330758505</v>
      </c>
      <c r="K31">
        <f t="shared" si="9"/>
        <v>57.846623307585048</v>
      </c>
      <c r="L31">
        <f t="shared" si="3"/>
        <v>-10</v>
      </c>
      <c r="M31">
        <f t="shared" ca="1" si="4"/>
        <v>5</v>
      </c>
      <c r="N31">
        <f t="shared" ca="1" si="5"/>
        <v>5</v>
      </c>
      <c r="O31">
        <f t="shared" ca="1" si="6"/>
        <v>-394.99999999999994</v>
      </c>
      <c r="P31">
        <f t="shared" ca="1" si="7"/>
        <v>-394.99999999999994</v>
      </c>
      <c r="Q31">
        <f t="shared" si="10"/>
        <v>-137.24843837590691</v>
      </c>
      <c r="R31">
        <f t="shared" si="11"/>
        <v>-0.13724843837590692</v>
      </c>
    </row>
    <row r="32" spans="1:18" x14ac:dyDescent="0.25">
      <c r="F32">
        <f t="shared" ca="1" si="0"/>
        <v>0</v>
      </c>
      <c r="G32">
        <f t="shared" si="1"/>
        <v>2.0999999999999996</v>
      </c>
      <c r="H32">
        <v>0.35</v>
      </c>
      <c r="I32">
        <f t="shared" si="8"/>
        <v>2.1991148575128552</v>
      </c>
      <c r="J32">
        <f t="shared" si="2"/>
        <v>198.15254077282381</v>
      </c>
      <c r="K32">
        <f t="shared" si="9"/>
        <v>48.152540772823812</v>
      </c>
      <c r="L32">
        <f t="shared" si="3"/>
        <v>-10</v>
      </c>
      <c r="M32">
        <f t="shared" ca="1" si="4"/>
        <v>5</v>
      </c>
      <c r="N32">
        <f t="shared" ca="1" si="5"/>
        <v>5</v>
      </c>
      <c r="O32">
        <f t="shared" ca="1" si="6"/>
        <v>-380.00000000000006</v>
      </c>
      <c r="P32">
        <f t="shared" ca="1" si="7"/>
        <v>-380.00000000000006</v>
      </c>
      <c r="Q32">
        <f t="shared" si="10"/>
        <v>-121.79412883963953</v>
      </c>
      <c r="R32">
        <f t="shared" si="11"/>
        <v>-0.12179412883963953</v>
      </c>
    </row>
    <row r="33" spans="6:18" x14ac:dyDescent="0.25">
      <c r="F33">
        <f t="shared" ca="1" si="0"/>
        <v>0</v>
      </c>
      <c r="G33">
        <f t="shared" si="1"/>
        <v>2.1749999999999998</v>
      </c>
      <c r="H33">
        <v>0.36249999999999999</v>
      </c>
      <c r="I33">
        <f t="shared" si="8"/>
        <v>2.2776546738526</v>
      </c>
      <c r="J33">
        <f t="shared" si="2"/>
        <v>189.57750398163918</v>
      </c>
      <c r="K33">
        <f t="shared" si="9"/>
        <v>39.577503981639182</v>
      </c>
      <c r="L33">
        <f t="shared" si="3"/>
        <v>-10</v>
      </c>
      <c r="M33">
        <f t="shared" ca="1" si="4"/>
        <v>5</v>
      </c>
      <c r="N33">
        <f t="shared" ca="1" si="5"/>
        <v>5</v>
      </c>
      <c r="O33">
        <f t="shared" ca="1" si="6"/>
        <v>-365.00000000000006</v>
      </c>
      <c r="P33">
        <f t="shared" ca="1" si="7"/>
        <v>-365.00000000000006</v>
      </c>
      <c r="Q33">
        <f t="shared" si="10"/>
        <v>-107.4115580618503</v>
      </c>
      <c r="R33">
        <f t="shared" si="11"/>
        <v>-0.10741155806185031</v>
      </c>
    </row>
    <row r="34" spans="6:18" x14ac:dyDescent="0.25">
      <c r="F34">
        <f t="shared" ca="1" si="0"/>
        <v>0</v>
      </c>
      <c r="G34">
        <f t="shared" si="1"/>
        <v>2.25</v>
      </c>
      <c r="H34">
        <v>0.375</v>
      </c>
      <c r="I34">
        <f t="shared" si="8"/>
        <v>2.3561944901923448</v>
      </c>
      <c r="J34">
        <f t="shared" si="2"/>
        <v>182.04080706354623</v>
      </c>
      <c r="K34">
        <f t="shared" si="9"/>
        <v>32.040807063546225</v>
      </c>
      <c r="L34">
        <f t="shared" si="3"/>
        <v>-10</v>
      </c>
      <c r="M34">
        <f t="shared" ca="1" si="4"/>
        <v>5</v>
      </c>
      <c r="N34">
        <f t="shared" ca="1" si="5"/>
        <v>5</v>
      </c>
      <c r="O34">
        <f t="shared" ca="1" si="6"/>
        <v>-350</v>
      </c>
      <c r="P34">
        <f t="shared" ca="1" si="7"/>
        <v>-350</v>
      </c>
      <c r="Q34">
        <f t="shared" si="10"/>
        <v>-94.085936719844923</v>
      </c>
      <c r="R34">
        <f t="shared" si="11"/>
        <v>-9.4085936719844929E-2</v>
      </c>
    </row>
    <row r="35" spans="6:18" x14ac:dyDescent="0.25">
      <c r="F35">
        <f t="shared" ca="1" si="0"/>
        <v>0</v>
      </c>
      <c r="G35">
        <f t="shared" si="1"/>
        <v>2.3250000000000002</v>
      </c>
      <c r="H35">
        <v>0.38750000000000001</v>
      </c>
      <c r="I35">
        <f t="shared" si="8"/>
        <v>2.4347343065320897</v>
      </c>
      <c r="J35">
        <f t="shared" si="2"/>
        <v>175.46461347366241</v>
      </c>
      <c r="K35">
        <f t="shared" si="9"/>
        <v>25.464613473662411</v>
      </c>
      <c r="L35">
        <f t="shared" si="3"/>
        <v>-10</v>
      </c>
      <c r="M35">
        <f t="shared" ca="1" si="4"/>
        <v>5</v>
      </c>
      <c r="N35">
        <f t="shared" ca="1" si="5"/>
        <v>5</v>
      </c>
      <c r="O35">
        <f t="shared" ca="1" si="6"/>
        <v>-334.99999999999994</v>
      </c>
      <c r="P35">
        <f t="shared" ca="1" si="7"/>
        <v>-334.99999999999994</v>
      </c>
      <c r="Q35">
        <f t="shared" si="10"/>
        <v>-81.762914626270344</v>
      </c>
      <c r="R35">
        <f t="shared" si="11"/>
        <v>-8.1762914626270347E-2</v>
      </c>
    </row>
    <row r="36" spans="6:18" x14ac:dyDescent="0.25">
      <c r="F36">
        <f t="shared" ref="F36:F67" ca="1" si="12">IF(M36&lt;User_Used_Stroke_Length,1,0)</f>
        <v>0</v>
      </c>
      <c r="G36">
        <f t="shared" si="1"/>
        <v>2.4000000000000004</v>
      </c>
      <c r="H36">
        <v>0.4</v>
      </c>
      <c r="I36">
        <f t="shared" si="8"/>
        <v>2.5132741228718345</v>
      </c>
      <c r="J36">
        <f t="shared" ref="J36:J67" si="13">crank_radius*COS(I36)+SQRT(rod_length^2-crank_radius^2*SIN(I36)^2)</f>
        <v>169.77636986960565</v>
      </c>
      <c r="K36">
        <f t="shared" si="9"/>
        <v>19.776369869605645</v>
      </c>
      <c r="L36">
        <f t="shared" ref="L36:L67" si="14">IF(AND(G36&gt;0.5*Period_time,G36&lt;0.5*Period_time+Locked_Spring),Spring_Back,-10)</f>
        <v>-10</v>
      </c>
      <c r="M36">
        <f t="shared" ref="M36:M67" ca="1" si="15">IF(K36&gt;=User_Used_Stroke_Length,User_Used_Stroke_Length,K36)</f>
        <v>5</v>
      </c>
      <c r="N36">
        <f t="shared" ref="N36:N67" ca="1" si="16">IF(G36&lt;=0.5*Period_time,M36,-10)</f>
        <v>5</v>
      </c>
      <c r="O36">
        <f t="shared" ref="O36:O67" ca="1" si="17">Return_Speed*1000*G36-Return_Speed*1000*(0.5*Period_time+Locked_Spring)</f>
        <v>-319.99999999999994</v>
      </c>
      <c r="P36">
        <f t="shared" ref="P36:P67" ca="1" si="18">IF(O36&gt;User_Used_Stroke_Length,User_Used_Stroke_Length,O36)</f>
        <v>-319.99999999999994</v>
      </c>
      <c r="Q36">
        <f t="shared" si="10"/>
        <v>-70.361910791876952</v>
      </c>
      <c r="R36">
        <f t="shared" si="11"/>
        <v>-7.0361910791876953E-2</v>
      </c>
    </row>
    <row r="37" spans="6:18" x14ac:dyDescent="0.25">
      <c r="F37">
        <f t="shared" ca="1" si="12"/>
        <v>0</v>
      </c>
      <c r="G37">
        <f t="shared" si="1"/>
        <v>2.4749999999999996</v>
      </c>
      <c r="H37">
        <v>0.41249999999999998</v>
      </c>
      <c r="I37">
        <f t="shared" si="8"/>
        <v>2.5918139392115793</v>
      </c>
      <c r="J37">
        <f t="shared" si="13"/>
        <v>164.91032685488091</v>
      </c>
      <c r="K37">
        <f t="shared" si="9"/>
        <v>14.910326854880907</v>
      </c>
      <c r="L37">
        <f t="shared" si="14"/>
        <v>-10</v>
      </c>
      <c r="M37">
        <f t="shared" ca="1" si="15"/>
        <v>5</v>
      </c>
      <c r="N37">
        <f t="shared" ca="1" si="16"/>
        <v>5</v>
      </c>
      <c r="O37">
        <f t="shared" ca="1" si="17"/>
        <v>-305.00000000000006</v>
      </c>
      <c r="P37">
        <f t="shared" ca="1" si="18"/>
        <v>-305.00000000000006</v>
      </c>
      <c r="Q37">
        <f t="shared" si="10"/>
        <v>-59.786537778337006</v>
      </c>
      <c r="R37">
        <f t="shared" si="11"/>
        <v>-5.9786537778337007E-2</v>
      </c>
    </row>
    <row r="38" spans="6:18" x14ac:dyDescent="0.25">
      <c r="F38">
        <f t="shared" ca="1" si="12"/>
        <v>0</v>
      </c>
      <c r="G38">
        <f t="shared" si="1"/>
        <v>2.5499999999999998</v>
      </c>
      <c r="H38">
        <v>0.42499999999999999</v>
      </c>
      <c r="I38">
        <f t="shared" si="8"/>
        <v>2.6703537555513241</v>
      </c>
      <c r="J38">
        <f t="shared" si="13"/>
        <v>160.80838920285512</v>
      </c>
      <c r="K38">
        <f t="shared" si="9"/>
        <v>10.808389202855125</v>
      </c>
      <c r="L38">
        <f t="shared" si="14"/>
        <v>-10</v>
      </c>
      <c r="M38">
        <f t="shared" ca="1" si="15"/>
        <v>5</v>
      </c>
      <c r="N38">
        <f t="shared" ca="1" si="16"/>
        <v>5</v>
      </c>
      <c r="O38">
        <f t="shared" ca="1" si="17"/>
        <v>-290.00000000000006</v>
      </c>
      <c r="P38">
        <f t="shared" ca="1" si="18"/>
        <v>-290.00000000000006</v>
      </c>
      <c r="Q38">
        <f t="shared" si="10"/>
        <v>-49.932203012677469</v>
      </c>
      <c r="R38">
        <f t="shared" si="11"/>
        <v>-4.9932203012677472E-2</v>
      </c>
    </row>
    <row r="39" spans="6:18" x14ac:dyDescent="0.25">
      <c r="F39">
        <f t="shared" ca="1" si="12"/>
        <v>0</v>
      </c>
      <c r="G39">
        <f t="shared" si="1"/>
        <v>2.625</v>
      </c>
      <c r="H39">
        <v>0.4375</v>
      </c>
      <c r="I39">
        <f t="shared" si="8"/>
        <v>2.748893571891069</v>
      </c>
      <c r="J39">
        <f t="shared" si="13"/>
        <v>157.42049640297927</v>
      </c>
      <c r="K39">
        <f t="shared" si="9"/>
        <v>7.4204964029792677</v>
      </c>
      <c r="L39">
        <f t="shared" si="14"/>
        <v>-10</v>
      </c>
      <c r="M39">
        <f t="shared" ca="1" si="15"/>
        <v>5</v>
      </c>
      <c r="N39">
        <f t="shared" ca="1" si="16"/>
        <v>5</v>
      </c>
      <c r="O39">
        <f t="shared" ca="1" si="17"/>
        <v>-275</v>
      </c>
      <c r="P39">
        <f t="shared" ca="1" si="18"/>
        <v>-275</v>
      </c>
      <c r="Q39">
        <f t="shared" si="10"/>
        <v>-40.691267470334552</v>
      </c>
      <c r="R39">
        <f t="shared" si="11"/>
        <v>-4.0691267470334552E-2</v>
      </c>
    </row>
    <row r="40" spans="6:18" x14ac:dyDescent="0.25">
      <c r="F40">
        <f t="shared" ca="1" si="12"/>
        <v>1</v>
      </c>
      <c r="G40">
        <f t="shared" si="1"/>
        <v>2.7</v>
      </c>
      <c r="H40">
        <v>0.45</v>
      </c>
      <c r="I40">
        <f t="shared" si="8"/>
        <v>2.8274333882308138</v>
      </c>
      <c r="J40">
        <f t="shared" si="13"/>
        <v>154.70469908230493</v>
      </c>
      <c r="K40">
        <f t="shared" si="9"/>
        <v>4.7046990823049271</v>
      </c>
      <c r="L40">
        <f t="shared" si="14"/>
        <v>-10</v>
      </c>
      <c r="M40">
        <f t="shared" ca="1" si="15"/>
        <v>4.7046990823049271</v>
      </c>
      <c r="N40">
        <f t="shared" ca="1" si="16"/>
        <v>4.7046990823049271</v>
      </c>
      <c r="O40">
        <f t="shared" ca="1" si="17"/>
        <v>-260</v>
      </c>
      <c r="P40">
        <f t="shared" ca="1" si="18"/>
        <v>-260</v>
      </c>
      <c r="Q40">
        <f t="shared" si="10"/>
        <v>-31.95624719821933</v>
      </c>
      <c r="R40">
        <f t="shared" si="11"/>
        <v>-3.195624719821933E-2</v>
      </c>
    </row>
    <row r="41" spans="6:18" x14ac:dyDescent="0.25">
      <c r="F41">
        <f t="shared" ca="1" si="12"/>
        <v>1</v>
      </c>
      <c r="G41">
        <f t="shared" si="1"/>
        <v>2.7750000000000004</v>
      </c>
      <c r="H41">
        <v>0.46250000000000002</v>
      </c>
      <c r="I41">
        <f t="shared" si="8"/>
        <v>2.9059732045705586</v>
      </c>
      <c r="J41">
        <f t="shared" si="13"/>
        <v>152.62705932324636</v>
      </c>
      <c r="K41">
        <f t="shared" si="9"/>
        <v>2.6270593232463568</v>
      </c>
      <c r="L41">
        <f t="shared" si="14"/>
        <v>-10</v>
      </c>
      <c r="M41">
        <f t="shared" ca="1" si="15"/>
        <v>2.6270593232463568</v>
      </c>
      <c r="N41">
        <f t="shared" ca="1" si="16"/>
        <v>2.6270593232463568</v>
      </c>
      <c r="O41">
        <f t="shared" ca="1" si="17"/>
        <v>-244.99999999999989</v>
      </c>
      <c r="P41">
        <f t="shared" ca="1" si="18"/>
        <v>-244.99999999999989</v>
      </c>
      <c r="Q41">
        <f t="shared" si="10"/>
        <v>-23.62153345921238</v>
      </c>
      <c r="R41">
        <f t="shared" si="11"/>
        <v>-2.362153345921238E-2</v>
      </c>
    </row>
    <row r="42" spans="6:18" x14ac:dyDescent="0.25">
      <c r="F42">
        <f t="shared" ca="1" si="12"/>
        <v>1</v>
      </c>
      <c r="G42">
        <f t="shared" si="1"/>
        <v>2.8499999999999996</v>
      </c>
      <c r="H42">
        <v>0.47499999999999998</v>
      </c>
      <c r="I42">
        <f t="shared" si="8"/>
        <v>2.9845130209103035</v>
      </c>
      <c r="J42">
        <f t="shared" si="13"/>
        <v>151.16146906342308</v>
      </c>
      <c r="K42">
        <f t="shared" si="9"/>
        <v>1.161469063423084</v>
      </c>
      <c r="L42">
        <f t="shared" si="14"/>
        <v>-10</v>
      </c>
      <c r="M42">
        <f t="shared" ca="1" si="15"/>
        <v>1.161469063423084</v>
      </c>
      <c r="N42">
        <f t="shared" ca="1" si="16"/>
        <v>1.161469063423084</v>
      </c>
      <c r="O42">
        <f t="shared" ca="1" si="17"/>
        <v>-230.00000000000011</v>
      </c>
      <c r="P42">
        <f t="shared" ca="1" si="18"/>
        <v>-230.00000000000011</v>
      </c>
      <c r="Q42">
        <f t="shared" si="10"/>
        <v>-15.584042735043084</v>
      </c>
      <c r="R42">
        <f t="shared" si="11"/>
        <v>-1.5584042735043085E-2</v>
      </c>
    </row>
    <row r="43" spans="6:18" x14ac:dyDescent="0.25">
      <c r="F43">
        <f t="shared" ca="1" si="12"/>
        <v>1</v>
      </c>
      <c r="G43">
        <f t="shared" si="1"/>
        <v>2.9249999999999998</v>
      </c>
      <c r="H43">
        <v>0.48749999999999999</v>
      </c>
      <c r="I43">
        <f t="shared" si="8"/>
        <v>3.0630528372500483</v>
      </c>
      <c r="J43">
        <f t="shared" si="13"/>
        <v>150.2894529129899</v>
      </c>
      <c r="K43">
        <f t="shared" si="9"/>
        <v>0.28945291298990128</v>
      </c>
      <c r="L43">
        <f t="shared" si="14"/>
        <v>-10</v>
      </c>
      <c r="M43">
        <f t="shared" ca="1" si="15"/>
        <v>0.28945291298990128</v>
      </c>
      <c r="N43">
        <f t="shared" ca="1" si="16"/>
        <v>0.28945291298990128</v>
      </c>
      <c r="O43">
        <f t="shared" ca="1" si="17"/>
        <v>-215</v>
      </c>
      <c r="P43">
        <f t="shared" ca="1" si="18"/>
        <v>-215</v>
      </c>
      <c r="Q43">
        <f t="shared" si="10"/>
        <v>-7.7431270894872073</v>
      </c>
      <c r="R43">
        <f t="shared" si="11"/>
        <v>-7.7431270894872074E-3</v>
      </c>
    </row>
    <row r="44" spans="6:18" x14ac:dyDescent="0.25">
      <c r="F44">
        <f t="shared" ca="1" si="12"/>
        <v>1</v>
      </c>
      <c r="G44">
        <f t="shared" ref="G44:G83" si="19">H44*$G$84</f>
        <v>3</v>
      </c>
      <c r="H44">
        <v>0.5</v>
      </c>
      <c r="I44">
        <f t="shared" si="8"/>
        <v>3.1415926535897931</v>
      </c>
      <c r="J44">
        <f t="shared" si="13"/>
        <v>150</v>
      </c>
      <c r="K44">
        <f t="shared" si="9"/>
        <v>0</v>
      </c>
      <c r="L44">
        <f t="shared" si="14"/>
        <v>-10</v>
      </c>
      <c r="M44">
        <f t="shared" ca="1" si="15"/>
        <v>0</v>
      </c>
      <c r="N44">
        <f t="shared" ca="1" si="16"/>
        <v>0</v>
      </c>
      <c r="O44">
        <f t="shared" ca="1" si="17"/>
        <v>-200</v>
      </c>
      <c r="P44">
        <f t="shared" ca="1" si="18"/>
        <v>-200</v>
      </c>
      <c r="Q44">
        <f t="shared" si="10"/>
        <v>-1.9328674463439382E-13</v>
      </c>
      <c r="R44">
        <f t="shared" si="11"/>
        <v>-1.9328674463439381E-16</v>
      </c>
    </row>
    <row r="45" spans="6:18" x14ac:dyDescent="0.25">
      <c r="F45">
        <f t="shared" ca="1" si="12"/>
        <v>1</v>
      </c>
      <c r="G45">
        <f t="shared" si="19"/>
        <v>3.0749999999999997</v>
      </c>
      <c r="H45">
        <v>0.51249999999999996</v>
      </c>
      <c r="I45">
        <f t="shared" si="8"/>
        <v>3.2201324699295375</v>
      </c>
      <c r="J45">
        <f t="shared" si="13"/>
        <v>150.28945291298987</v>
      </c>
      <c r="K45">
        <f t="shared" si="9"/>
        <v>0.28945291298987286</v>
      </c>
      <c r="L45" t="e">
        <f t="shared" si="14"/>
        <v>#REF!</v>
      </c>
      <c r="M45">
        <f t="shared" ca="1" si="15"/>
        <v>0.28945291298987286</v>
      </c>
      <c r="N45">
        <f t="shared" si="16"/>
        <v>-10</v>
      </c>
      <c r="O45">
        <f t="shared" ca="1" si="17"/>
        <v>-185</v>
      </c>
      <c r="P45">
        <f t="shared" ca="1" si="18"/>
        <v>-185</v>
      </c>
      <c r="Q45">
        <f t="shared" si="10"/>
        <v>7.743127089487027</v>
      </c>
      <c r="R45">
        <f t="shared" si="11"/>
        <v>7.743127089487027E-3</v>
      </c>
    </row>
    <row r="46" spans="6:18" x14ac:dyDescent="0.25">
      <c r="F46">
        <f t="shared" ca="1" si="12"/>
        <v>1</v>
      </c>
      <c r="G46">
        <f t="shared" si="19"/>
        <v>3.1500000000000004</v>
      </c>
      <c r="H46">
        <v>0.52500000000000002</v>
      </c>
      <c r="I46">
        <f t="shared" si="8"/>
        <v>3.2986722862692828</v>
      </c>
      <c r="J46">
        <f t="shared" si="13"/>
        <v>151.16146906342306</v>
      </c>
      <c r="K46">
        <f t="shared" si="9"/>
        <v>1.1614690634230556</v>
      </c>
      <c r="L46" t="e">
        <f t="shared" si="14"/>
        <v>#REF!</v>
      </c>
      <c r="M46">
        <f t="shared" ca="1" si="15"/>
        <v>1.1614690634230556</v>
      </c>
      <c r="N46">
        <f t="shared" si="16"/>
        <v>-10</v>
      </c>
      <c r="O46">
        <f t="shared" ca="1" si="17"/>
        <v>-169.99999999999989</v>
      </c>
      <c r="P46">
        <f t="shared" ca="1" si="18"/>
        <v>-169.99999999999989</v>
      </c>
      <c r="Q46">
        <f t="shared" si="10"/>
        <v>15.584042735043036</v>
      </c>
      <c r="R46">
        <f t="shared" si="11"/>
        <v>1.5584042735043036E-2</v>
      </c>
    </row>
    <row r="47" spans="6:18" x14ac:dyDescent="0.25">
      <c r="F47">
        <f t="shared" ca="1" si="12"/>
        <v>1</v>
      </c>
      <c r="G47">
        <f t="shared" si="19"/>
        <v>3.2249999999999996</v>
      </c>
      <c r="H47">
        <v>0.53749999999999998</v>
      </c>
      <c r="I47">
        <f t="shared" si="8"/>
        <v>3.3772121026090276</v>
      </c>
      <c r="J47">
        <f t="shared" si="13"/>
        <v>152.62705932324633</v>
      </c>
      <c r="K47">
        <f t="shared" si="9"/>
        <v>2.6270593232463284</v>
      </c>
      <c r="L47" t="e">
        <f t="shared" si="14"/>
        <v>#REF!</v>
      </c>
      <c r="M47">
        <f t="shared" ca="1" si="15"/>
        <v>2.6270593232463284</v>
      </c>
      <c r="N47">
        <f t="shared" si="16"/>
        <v>-10</v>
      </c>
      <c r="O47">
        <f t="shared" ca="1" si="17"/>
        <v>-155.00000000000011</v>
      </c>
      <c r="P47">
        <f t="shared" ca="1" si="18"/>
        <v>-155.00000000000011</v>
      </c>
      <c r="Q47">
        <f t="shared" si="10"/>
        <v>23.621533459212504</v>
      </c>
      <c r="R47">
        <f t="shared" si="11"/>
        <v>2.3621533459212505E-2</v>
      </c>
    </row>
    <row r="48" spans="6:18" x14ac:dyDescent="0.25">
      <c r="F48">
        <f t="shared" ca="1" si="12"/>
        <v>1</v>
      </c>
      <c r="G48">
        <f t="shared" si="19"/>
        <v>3.3000000000000003</v>
      </c>
      <c r="H48">
        <v>0.55000000000000004</v>
      </c>
      <c r="I48">
        <f t="shared" si="8"/>
        <v>3.4557519189487729</v>
      </c>
      <c r="J48">
        <f t="shared" si="13"/>
        <v>154.70469908230493</v>
      </c>
      <c r="K48">
        <f t="shared" si="9"/>
        <v>4.7046990823049271</v>
      </c>
      <c r="L48" t="e">
        <f t="shared" si="14"/>
        <v>#REF!</v>
      </c>
      <c r="M48">
        <f t="shared" ca="1" si="15"/>
        <v>4.7046990823049271</v>
      </c>
      <c r="N48">
        <f t="shared" si="16"/>
        <v>-10</v>
      </c>
      <c r="O48">
        <f t="shared" ca="1" si="17"/>
        <v>-140</v>
      </c>
      <c r="P48">
        <f t="shared" ca="1" si="18"/>
        <v>-140</v>
      </c>
      <c r="Q48">
        <f t="shared" si="10"/>
        <v>31.9562471982197</v>
      </c>
      <c r="R48">
        <f t="shared" si="11"/>
        <v>3.1956247198219698E-2</v>
      </c>
    </row>
    <row r="49" spans="6:18" x14ac:dyDescent="0.25">
      <c r="F49">
        <f t="shared" ca="1" si="12"/>
        <v>0</v>
      </c>
      <c r="G49">
        <f t="shared" si="19"/>
        <v>3.375</v>
      </c>
      <c r="H49">
        <v>0.5625</v>
      </c>
      <c r="I49">
        <f t="shared" si="8"/>
        <v>3.5342917352885173</v>
      </c>
      <c r="J49">
        <f t="shared" si="13"/>
        <v>157.4204964029793</v>
      </c>
      <c r="K49">
        <f t="shared" si="9"/>
        <v>7.4204964029792961</v>
      </c>
      <c r="L49" t="e">
        <f t="shared" si="14"/>
        <v>#REF!</v>
      </c>
      <c r="M49">
        <f t="shared" ca="1" si="15"/>
        <v>5</v>
      </c>
      <c r="N49">
        <f t="shared" si="16"/>
        <v>-10</v>
      </c>
      <c r="O49">
        <f t="shared" ca="1" si="17"/>
        <v>-125</v>
      </c>
      <c r="P49">
        <f t="shared" ca="1" si="18"/>
        <v>-125</v>
      </c>
      <c r="Q49">
        <f t="shared" si="10"/>
        <v>40.691267470334232</v>
      </c>
      <c r="R49">
        <f t="shared" si="11"/>
        <v>4.0691267470334233E-2</v>
      </c>
    </row>
    <row r="50" spans="6:18" x14ac:dyDescent="0.25">
      <c r="F50">
        <f t="shared" ca="1" si="12"/>
        <v>0</v>
      </c>
      <c r="G50">
        <f t="shared" si="19"/>
        <v>3.4499999999999997</v>
      </c>
      <c r="H50">
        <v>0.57499999999999996</v>
      </c>
      <c r="I50">
        <f t="shared" si="8"/>
        <v>3.6128315516282616</v>
      </c>
      <c r="J50">
        <f t="shared" si="13"/>
        <v>160.80838920285504</v>
      </c>
      <c r="K50">
        <f t="shared" si="9"/>
        <v>10.808389202855039</v>
      </c>
      <c r="L50" t="e">
        <f t="shared" si="14"/>
        <v>#REF!</v>
      </c>
      <c r="M50">
        <f t="shared" ca="1" si="15"/>
        <v>5</v>
      </c>
      <c r="N50">
        <f t="shared" si="16"/>
        <v>-10</v>
      </c>
      <c r="O50">
        <f t="shared" ca="1" si="17"/>
        <v>-110</v>
      </c>
      <c r="P50">
        <f t="shared" ca="1" si="18"/>
        <v>-110</v>
      </c>
      <c r="Q50">
        <f t="shared" si="10"/>
        <v>49.932203012677107</v>
      </c>
      <c r="R50">
        <f t="shared" si="11"/>
        <v>4.9932203012677104E-2</v>
      </c>
    </row>
    <row r="51" spans="6:18" x14ac:dyDescent="0.25">
      <c r="F51">
        <f t="shared" ca="1" si="12"/>
        <v>0</v>
      </c>
      <c r="G51">
        <f t="shared" si="19"/>
        <v>3.5250000000000004</v>
      </c>
      <c r="H51">
        <v>0.58750000000000002</v>
      </c>
      <c r="I51">
        <f t="shared" si="8"/>
        <v>3.6913713679680069</v>
      </c>
      <c r="J51">
        <f t="shared" si="13"/>
        <v>164.91032685488088</v>
      </c>
      <c r="K51">
        <f t="shared" si="9"/>
        <v>14.910326854880878</v>
      </c>
      <c r="L51" t="e">
        <f t="shared" si="14"/>
        <v>#REF!</v>
      </c>
      <c r="M51">
        <f t="shared" ca="1" si="15"/>
        <v>5</v>
      </c>
      <c r="N51">
        <f t="shared" si="16"/>
        <v>-10</v>
      </c>
      <c r="O51">
        <f t="shared" ca="1" si="17"/>
        <v>-94.999999999999886</v>
      </c>
      <c r="P51">
        <f t="shared" ca="1" si="18"/>
        <v>-94.999999999999886</v>
      </c>
      <c r="Q51">
        <f t="shared" si="10"/>
        <v>59.786537778337014</v>
      </c>
      <c r="R51">
        <f t="shared" si="11"/>
        <v>5.9786537778337014E-2</v>
      </c>
    </row>
    <row r="52" spans="6:18" x14ac:dyDescent="0.25">
      <c r="F52">
        <f t="shared" ca="1" si="12"/>
        <v>0</v>
      </c>
      <c r="G52">
        <f t="shared" si="19"/>
        <v>3.5999999999999996</v>
      </c>
      <c r="H52">
        <v>0.6</v>
      </c>
      <c r="I52">
        <f t="shared" si="8"/>
        <v>3.7699111843077517</v>
      </c>
      <c r="J52">
        <f t="shared" si="13"/>
        <v>169.77636986960559</v>
      </c>
      <c r="K52">
        <f t="shared" si="9"/>
        <v>19.776369869605588</v>
      </c>
      <c r="L52" t="e">
        <f t="shared" si="14"/>
        <v>#REF!</v>
      </c>
      <c r="M52">
        <f t="shared" ca="1" si="15"/>
        <v>5</v>
      </c>
      <c r="N52">
        <f t="shared" si="16"/>
        <v>-10</v>
      </c>
      <c r="O52">
        <f t="shared" ca="1" si="17"/>
        <v>-80.000000000000114</v>
      </c>
      <c r="P52">
        <f t="shared" ca="1" si="18"/>
        <v>-80.000000000000114</v>
      </c>
      <c r="Q52">
        <f t="shared" si="10"/>
        <v>70.361910791877321</v>
      </c>
      <c r="R52">
        <f t="shared" si="11"/>
        <v>7.0361910791877327E-2</v>
      </c>
    </row>
    <row r="53" spans="6:18" x14ac:dyDescent="0.25">
      <c r="F53">
        <f t="shared" ca="1" si="12"/>
        <v>0</v>
      </c>
      <c r="G53">
        <f t="shared" si="19"/>
        <v>3.6750000000000003</v>
      </c>
      <c r="H53">
        <v>0.61250000000000004</v>
      </c>
      <c r="I53">
        <f t="shared" si="8"/>
        <v>3.848451000647497</v>
      </c>
      <c r="J53">
        <f t="shared" si="13"/>
        <v>175.46461347366247</v>
      </c>
      <c r="K53">
        <f t="shared" si="9"/>
        <v>25.464613473662467</v>
      </c>
      <c r="L53" t="e">
        <f t="shared" si="14"/>
        <v>#REF!</v>
      </c>
      <c r="M53">
        <f t="shared" ca="1" si="15"/>
        <v>5</v>
      </c>
      <c r="N53">
        <f t="shared" si="16"/>
        <v>-10</v>
      </c>
      <c r="O53">
        <f t="shared" ca="1" si="17"/>
        <v>-65</v>
      </c>
      <c r="P53">
        <f t="shared" ca="1" si="18"/>
        <v>-65</v>
      </c>
      <c r="Q53">
        <f t="shared" si="10"/>
        <v>81.76291462627033</v>
      </c>
      <c r="R53">
        <f t="shared" si="11"/>
        <v>8.1762914626270333E-2</v>
      </c>
    </row>
    <row r="54" spans="6:18" x14ac:dyDescent="0.25">
      <c r="F54">
        <f t="shared" ca="1" si="12"/>
        <v>0</v>
      </c>
      <c r="G54">
        <f t="shared" si="19"/>
        <v>3.75</v>
      </c>
      <c r="H54">
        <v>0.625</v>
      </c>
      <c r="I54">
        <f t="shared" si="8"/>
        <v>3.9269908169872414</v>
      </c>
      <c r="J54">
        <f t="shared" si="13"/>
        <v>182.04080706354617</v>
      </c>
      <c r="K54">
        <f t="shared" si="9"/>
        <v>32.040807063546168</v>
      </c>
      <c r="L54" t="e">
        <f t="shared" si="14"/>
        <v>#REF!</v>
      </c>
      <c r="M54">
        <f t="shared" ca="1" si="15"/>
        <v>5</v>
      </c>
      <c r="N54">
        <f t="shared" si="16"/>
        <v>-10</v>
      </c>
      <c r="O54">
        <f t="shared" ca="1" si="17"/>
        <v>-50</v>
      </c>
      <c r="P54">
        <f t="shared" ca="1" si="18"/>
        <v>-50</v>
      </c>
      <c r="Q54">
        <f t="shared" si="10"/>
        <v>94.08593671984454</v>
      </c>
      <c r="R54">
        <f t="shared" si="11"/>
        <v>9.408593671984454E-2</v>
      </c>
    </row>
    <row r="55" spans="6:18" x14ac:dyDescent="0.25">
      <c r="F55">
        <f t="shared" ca="1" si="12"/>
        <v>0</v>
      </c>
      <c r="G55">
        <f t="shared" si="19"/>
        <v>3.8249999999999997</v>
      </c>
      <c r="H55">
        <v>0.63749999999999996</v>
      </c>
      <c r="I55">
        <f t="shared" si="8"/>
        <v>4.0055306333269858</v>
      </c>
      <c r="J55">
        <f t="shared" si="13"/>
        <v>189.5775039816391</v>
      </c>
      <c r="K55">
        <f t="shared" si="9"/>
        <v>39.577503981639097</v>
      </c>
      <c r="L55" t="e">
        <f t="shared" si="14"/>
        <v>#REF!</v>
      </c>
      <c r="M55">
        <f t="shared" ca="1" si="15"/>
        <v>5</v>
      </c>
      <c r="N55">
        <f t="shared" si="16"/>
        <v>-10</v>
      </c>
      <c r="O55">
        <f t="shared" ca="1" si="17"/>
        <v>-35</v>
      </c>
      <c r="P55">
        <f t="shared" ca="1" si="18"/>
        <v>-35</v>
      </c>
      <c r="Q55">
        <f t="shared" si="10"/>
        <v>107.41155806185034</v>
      </c>
      <c r="R55">
        <f t="shared" si="11"/>
        <v>0.10741155806185035</v>
      </c>
    </row>
    <row r="56" spans="6:18" x14ac:dyDescent="0.25">
      <c r="F56">
        <f t="shared" ca="1" si="12"/>
        <v>0</v>
      </c>
      <c r="G56">
        <f t="shared" si="19"/>
        <v>3.9000000000000004</v>
      </c>
      <c r="H56">
        <v>0.65</v>
      </c>
      <c r="I56">
        <f t="shared" si="8"/>
        <v>4.0840704496667311</v>
      </c>
      <c r="J56">
        <f t="shared" si="13"/>
        <v>198.15254077282376</v>
      </c>
      <c r="K56">
        <f t="shared" si="9"/>
        <v>48.152540772823755</v>
      </c>
      <c r="L56" t="e">
        <f t="shared" si="14"/>
        <v>#REF!</v>
      </c>
      <c r="M56">
        <f t="shared" ca="1" si="15"/>
        <v>5</v>
      </c>
      <c r="N56">
        <f t="shared" si="16"/>
        <v>-10</v>
      </c>
      <c r="O56">
        <f t="shared" ca="1" si="17"/>
        <v>-19.999999999999886</v>
      </c>
      <c r="P56">
        <f t="shared" ca="1" si="18"/>
        <v>-19.999999999999886</v>
      </c>
      <c r="Q56">
        <f t="shared" si="10"/>
        <v>121.79412883963917</v>
      </c>
      <c r="R56">
        <f t="shared" si="11"/>
        <v>0.12179412883963917</v>
      </c>
    </row>
    <row r="57" spans="6:18" x14ac:dyDescent="0.25">
      <c r="F57">
        <f t="shared" ca="1" si="12"/>
        <v>0</v>
      </c>
      <c r="G57">
        <f t="shared" si="19"/>
        <v>3.9749999999999996</v>
      </c>
      <c r="H57">
        <v>0.66249999999999998</v>
      </c>
      <c r="I57">
        <f t="shared" si="8"/>
        <v>4.1626102660064754</v>
      </c>
      <c r="J57">
        <f t="shared" si="13"/>
        <v>207.84662330758496</v>
      </c>
      <c r="K57">
        <f t="shared" si="9"/>
        <v>57.846623307584963</v>
      </c>
      <c r="L57" t="e">
        <f t="shared" si="14"/>
        <v>#REF!</v>
      </c>
      <c r="M57">
        <f t="shared" ca="1" si="15"/>
        <v>5</v>
      </c>
      <c r="N57">
        <f t="shared" si="16"/>
        <v>-10</v>
      </c>
      <c r="O57">
        <f t="shared" ca="1" si="17"/>
        <v>-5.0000000000001137</v>
      </c>
      <c r="P57">
        <f t="shared" ca="1" si="18"/>
        <v>-5.0000000000001137</v>
      </c>
      <c r="Q57">
        <f t="shared" si="10"/>
        <v>137.24843837590649</v>
      </c>
      <c r="R57">
        <f t="shared" si="11"/>
        <v>0.1372484383759065</v>
      </c>
    </row>
    <row r="58" spans="6:18" x14ac:dyDescent="0.25">
      <c r="F58">
        <f t="shared" ca="1" si="12"/>
        <v>0</v>
      </c>
      <c r="G58">
        <f t="shared" si="19"/>
        <v>4.0500000000000007</v>
      </c>
      <c r="H58">
        <v>0.67500000000000004</v>
      </c>
      <c r="I58">
        <f t="shared" si="8"/>
        <v>4.2411500823462207</v>
      </c>
      <c r="J58">
        <f t="shared" si="13"/>
        <v>218.73980652920977</v>
      </c>
      <c r="K58">
        <f t="shared" si="9"/>
        <v>68.739806529209773</v>
      </c>
      <c r="L58">
        <f t="shared" si="14"/>
        <v>-10</v>
      </c>
      <c r="M58">
        <f t="shared" ca="1" si="15"/>
        <v>5</v>
      </c>
      <c r="N58">
        <f t="shared" si="16"/>
        <v>-10</v>
      </c>
      <c r="O58">
        <f t="shared" ca="1" si="17"/>
        <v>10.000000000000114</v>
      </c>
      <c r="P58">
        <f t="shared" ca="1" si="18"/>
        <v>5</v>
      </c>
      <c r="Q58">
        <f t="shared" si="10"/>
        <v>153.7339634144403</v>
      </c>
      <c r="R58">
        <f t="shared" si="11"/>
        <v>0.15373396341444029</v>
      </c>
    </row>
    <row r="59" spans="6:18" x14ac:dyDescent="0.25">
      <c r="F59">
        <f t="shared" ca="1" si="12"/>
        <v>0</v>
      </c>
      <c r="G59">
        <f t="shared" si="19"/>
        <v>4.125</v>
      </c>
      <c r="H59">
        <v>0.6875</v>
      </c>
      <c r="I59">
        <f t="shared" si="8"/>
        <v>4.3196898986859651</v>
      </c>
      <c r="J59">
        <f t="shared" si="13"/>
        <v>230.90671781975107</v>
      </c>
      <c r="K59">
        <f t="shared" si="9"/>
        <v>80.906717819751066</v>
      </c>
      <c r="L59">
        <f t="shared" si="14"/>
        <v>-10</v>
      </c>
      <c r="M59">
        <f t="shared" ca="1" si="15"/>
        <v>5</v>
      </c>
      <c r="N59">
        <f t="shared" si="16"/>
        <v>-10</v>
      </c>
      <c r="O59">
        <f t="shared" ca="1" si="17"/>
        <v>25</v>
      </c>
      <c r="P59">
        <f t="shared" ca="1" si="18"/>
        <v>5</v>
      </c>
      <c r="Q59">
        <f t="shared" si="10"/>
        <v>171.13804391194768</v>
      </c>
      <c r="R59">
        <f t="shared" si="11"/>
        <v>0.17113804391194767</v>
      </c>
    </row>
    <row r="60" spans="6:18" x14ac:dyDescent="0.25">
      <c r="F60">
        <f t="shared" ca="1" si="12"/>
        <v>0</v>
      </c>
      <c r="G60">
        <f t="shared" si="19"/>
        <v>4.1999999999999993</v>
      </c>
      <c r="H60">
        <v>0.7</v>
      </c>
      <c r="I60">
        <f t="shared" si="8"/>
        <v>4.3982297150257104</v>
      </c>
      <c r="J60">
        <f t="shared" si="13"/>
        <v>244.41051311600168</v>
      </c>
      <c r="K60">
        <f t="shared" si="9"/>
        <v>94.410513116001681</v>
      </c>
      <c r="L60">
        <f t="shared" si="14"/>
        <v>-10</v>
      </c>
      <c r="M60">
        <f t="shared" ca="1" si="15"/>
        <v>5</v>
      </c>
      <c r="N60">
        <f t="shared" si="16"/>
        <v>-10</v>
      </c>
      <c r="O60">
        <f t="shared" ca="1" si="17"/>
        <v>39.999999999999886</v>
      </c>
      <c r="P60">
        <f t="shared" ca="1" si="18"/>
        <v>5</v>
      </c>
      <c r="Q60">
        <f t="shared" si="10"/>
        <v>189.26041054737271</v>
      </c>
      <c r="R60">
        <f t="shared" si="11"/>
        <v>0.18926041054737272</v>
      </c>
    </row>
    <row r="61" spans="6:18" x14ac:dyDescent="0.25">
      <c r="F61">
        <f t="shared" ca="1" si="12"/>
        <v>0</v>
      </c>
      <c r="G61">
        <f t="shared" si="19"/>
        <v>4.2750000000000004</v>
      </c>
      <c r="H61">
        <v>0.71250000000000002</v>
      </c>
      <c r="I61">
        <f t="shared" si="8"/>
        <v>4.4767695313654556</v>
      </c>
      <c r="J61">
        <f t="shared" si="13"/>
        <v>259.29577940185703</v>
      </c>
      <c r="K61">
        <f t="shared" si="9"/>
        <v>109.29577940185703</v>
      </c>
      <c r="L61">
        <f t="shared" si="14"/>
        <v>-10</v>
      </c>
      <c r="M61">
        <f t="shared" ca="1" si="15"/>
        <v>5</v>
      </c>
      <c r="N61">
        <f t="shared" si="16"/>
        <v>-10</v>
      </c>
      <c r="O61">
        <f t="shared" ca="1" si="17"/>
        <v>55.000000000000114</v>
      </c>
      <c r="P61">
        <f t="shared" ca="1" si="18"/>
        <v>5</v>
      </c>
      <c r="Q61">
        <f t="shared" si="10"/>
        <v>207.80249683631502</v>
      </c>
      <c r="R61">
        <f t="shared" si="11"/>
        <v>0.20780249683631502</v>
      </c>
    </row>
    <row r="62" spans="6:18" x14ac:dyDescent="0.25">
      <c r="F62">
        <f t="shared" ca="1" si="12"/>
        <v>0</v>
      </c>
      <c r="G62">
        <f t="shared" si="19"/>
        <v>4.3499999999999996</v>
      </c>
      <c r="H62">
        <v>0.72499999999999998</v>
      </c>
      <c r="I62">
        <f t="shared" si="8"/>
        <v>4.5553093477052</v>
      </c>
      <c r="J62">
        <f t="shared" si="13"/>
        <v>275.58088764144901</v>
      </c>
      <c r="K62">
        <f t="shared" si="9"/>
        <v>125.58088764144901</v>
      </c>
      <c r="L62">
        <f t="shared" si="14"/>
        <v>-10</v>
      </c>
      <c r="M62">
        <f t="shared" ca="1" si="15"/>
        <v>5</v>
      </c>
      <c r="N62">
        <f t="shared" si="16"/>
        <v>-10</v>
      </c>
      <c r="O62">
        <f t="shared" ca="1" si="17"/>
        <v>69.999999999999886</v>
      </c>
      <c r="P62">
        <f t="shared" ca="1" si="18"/>
        <v>5</v>
      </c>
      <c r="Q62">
        <f t="shared" si="10"/>
        <v>226.36544029848238</v>
      </c>
      <c r="R62">
        <f t="shared" si="11"/>
        <v>0.22636544029848238</v>
      </c>
    </row>
    <row r="63" spans="6:18" x14ac:dyDescent="0.25">
      <c r="F63">
        <f t="shared" ca="1" si="12"/>
        <v>0</v>
      </c>
      <c r="G63">
        <f t="shared" si="19"/>
        <v>4.4250000000000007</v>
      </c>
      <c r="H63">
        <v>0.73750000000000004</v>
      </c>
      <c r="I63">
        <f t="shared" si="8"/>
        <v>4.6338491640449453</v>
      </c>
      <c r="J63">
        <f t="shared" si="13"/>
        <v>293.25059544662946</v>
      </c>
      <c r="K63">
        <f t="shared" si="9"/>
        <v>143.25059544662946</v>
      </c>
      <c r="L63">
        <f t="shared" si="14"/>
        <v>-10</v>
      </c>
      <c r="M63">
        <f t="shared" ca="1" si="15"/>
        <v>5</v>
      </c>
      <c r="N63">
        <f t="shared" si="16"/>
        <v>-10</v>
      </c>
      <c r="O63">
        <f t="shared" ca="1" si="17"/>
        <v>85.000000000000114</v>
      </c>
      <c r="P63">
        <f t="shared" ca="1" si="18"/>
        <v>5</v>
      </c>
      <c r="Q63">
        <f t="shared" si="10"/>
        <v>244.46008185647176</v>
      </c>
      <c r="R63">
        <f t="shared" si="11"/>
        <v>0.24446008185647175</v>
      </c>
    </row>
    <row r="64" spans="6:18" x14ac:dyDescent="0.25">
      <c r="F64">
        <f t="shared" ca="1" si="12"/>
        <v>0</v>
      </c>
      <c r="G64">
        <f t="shared" si="19"/>
        <v>4.5</v>
      </c>
      <c r="H64">
        <v>0.75</v>
      </c>
      <c r="I64">
        <f t="shared" si="8"/>
        <v>4.7123889803846897</v>
      </c>
      <c r="J64">
        <f t="shared" si="13"/>
        <v>312.24989991991987</v>
      </c>
      <c r="K64">
        <f t="shared" si="9"/>
        <v>162.24989991991987</v>
      </c>
      <c r="L64">
        <f t="shared" si="14"/>
        <v>-10</v>
      </c>
      <c r="M64">
        <f t="shared" ca="1" si="15"/>
        <v>5</v>
      </c>
      <c r="N64">
        <f t="shared" si="16"/>
        <v>-10</v>
      </c>
      <c r="O64">
        <f t="shared" ca="1" si="17"/>
        <v>100</v>
      </c>
      <c r="P64">
        <f t="shared" ca="1" si="18"/>
        <v>5</v>
      </c>
      <c r="Q64">
        <f t="shared" si="10"/>
        <v>261.53031909281691</v>
      </c>
      <c r="R64">
        <f t="shared" si="11"/>
        <v>0.26153031909281693</v>
      </c>
    </row>
    <row r="65" spans="6:18" x14ac:dyDescent="0.25">
      <c r="F65">
        <f t="shared" ca="1" si="12"/>
        <v>0</v>
      </c>
      <c r="G65">
        <f t="shared" si="19"/>
        <v>4.5749999999999993</v>
      </c>
      <c r="H65">
        <v>0.76249999999999996</v>
      </c>
      <c r="I65">
        <f t="shared" si="8"/>
        <v>4.7909287967244341</v>
      </c>
      <c r="J65">
        <f t="shared" si="13"/>
        <v>332.48014331055163</v>
      </c>
      <c r="K65">
        <f t="shared" si="9"/>
        <v>182.48014331055163</v>
      </c>
      <c r="L65">
        <f t="shared" si="14"/>
        <v>-10</v>
      </c>
      <c r="M65">
        <f t="shared" ca="1" si="15"/>
        <v>5</v>
      </c>
      <c r="N65">
        <f t="shared" si="16"/>
        <v>-10</v>
      </c>
      <c r="O65">
        <f t="shared" ca="1" si="17"/>
        <v>114.99999999999989</v>
      </c>
      <c r="P65">
        <f t="shared" ca="1" si="18"/>
        <v>5</v>
      </c>
      <c r="Q65">
        <f t="shared" si="10"/>
        <v>276.98813494429652</v>
      </c>
      <c r="R65">
        <f t="shared" si="11"/>
        <v>0.27698813494429653</v>
      </c>
    </row>
    <row r="66" spans="6:18" x14ac:dyDescent="0.25">
      <c r="F66">
        <f t="shared" ca="1" si="12"/>
        <v>0</v>
      </c>
      <c r="G66">
        <f t="shared" si="19"/>
        <v>4.6500000000000004</v>
      </c>
      <c r="H66">
        <v>0.77500000000000002</v>
      </c>
      <c r="I66">
        <f t="shared" si="8"/>
        <v>4.8694686130641793</v>
      </c>
      <c r="J66">
        <f t="shared" si="13"/>
        <v>353.79812016156444</v>
      </c>
      <c r="K66">
        <f t="shared" si="9"/>
        <v>203.79812016156444</v>
      </c>
      <c r="L66">
        <f t="shared" si="14"/>
        <v>-10</v>
      </c>
      <c r="M66">
        <f t="shared" ca="1" si="15"/>
        <v>5</v>
      </c>
      <c r="N66">
        <f t="shared" si="16"/>
        <v>-10</v>
      </c>
      <c r="O66">
        <f t="shared" ca="1" si="17"/>
        <v>130.00000000000011</v>
      </c>
      <c r="P66">
        <f t="shared" ca="1" si="18"/>
        <v>5</v>
      </c>
      <c r="Q66">
        <f t="shared" si="10"/>
        <v>290.25545346171805</v>
      </c>
      <c r="R66">
        <f t="shared" si="11"/>
        <v>0.29025545346171805</v>
      </c>
    </row>
    <row r="67" spans="6:18" x14ac:dyDescent="0.25">
      <c r="F67">
        <f t="shared" ca="1" si="12"/>
        <v>0</v>
      </c>
      <c r="G67">
        <f t="shared" si="19"/>
        <v>4.7249999999999996</v>
      </c>
      <c r="H67">
        <v>0.78749999999999998</v>
      </c>
      <c r="I67">
        <f t="shared" si="8"/>
        <v>4.9480084294039237</v>
      </c>
      <c r="J67">
        <f t="shared" si="13"/>
        <v>376.01846132980944</v>
      </c>
      <c r="K67">
        <f t="shared" si="9"/>
        <v>226.01846132980944</v>
      </c>
      <c r="L67">
        <f t="shared" si="14"/>
        <v>-10</v>
      </c>
      <c r="M67">
        <f t="shared" ca="1" si="15"/>
        <v>5</v>
      </c>
      <c r="N67">
        <f t="shared" si="16"/>
        <v>-10</v>
      </c>
      <c r="O67">
        <f t="shared" ca="1" si="17"/>
        <v>144.99999999999989</v>
      </c>
      <c r="P67">
        <f t="shared" ca="1" si="18"/>
        <v>5</v>
      </c>
      <c r="Q67">
        <f t="shared" si="10"/>
        <v>300.80593427940556</v>
      </c>
      <c r="R67">
        <f t="shared" si="11"/>
        <v>0.30080593427940555</v>
      </c>
    </row>
    <row r="68" spans="6:18" x14ac:dyDescent="0.25">
      <c r="F68">
        <f t="shared" ref="F68:F84" ca="1" si="20">IF(M68&lt;User_Used_Stroke_Length,1,0)</f>
        <v>0</v>
      </c>
      <c r="G68">
        <f t="shared" si="19"/>
        <v>4.8000000000000007</v>
      </c>
      <c r="H68">
        <v>0.8</v>
      </c>
      <c r="I68">
        <f t="shared" si="8"/>
        <v>5.026548245743669</v>
      </c>
      <c r="J68">
        <f t="shared" ref="J68:J84" si="21">crank_radius*COS(I68)+SQRT(rod_length^2-crank_radius^2*SIN(I68)^2)</f>
        <v>398.91901030347537</v>
      </c>
      <c r="K68">
        <f t="shared" si="9"/>
        <v>248.91901030347537</v>
      </c>
      <c r="L68">
        <f t="shared" ref="L68:L84" si="22">IF(AND(G68&gt;0.5*Period_time,G68&lt;0.5*Period_time+Locked_Spring),Spring_Back,-10)</f>
        <v>-10</v>
      </c>
      <c r="M68">
        <f t="shared" ref="M68:M84" ca="1" si="23">IF(K68&gt;=User_Used_Stroke_Length,User_Used_Stroke_Length,K68)</f>
        <v>5</v>
      </c>
      <c r="N68">
        <f t="shared" ref="N68:N84" si="24">IF(G68&lt;=0.5*Period_time,M68,-10)</f>
        <v>-10</v>
      </c>
      <c r="O68">
        <f t="shared" ref="O68:O84" ca="1" si="25">Return_Speed*1000*G68-Return_Speed*1000*(0.5*Period_time+Locked_Spring)</f>
        <v>160.00000000000011</v>
      </c>
      <c r="P68">
        <f t="shared" ref="P68:P84" ca="1" si="26">IF(O68&gt;User_Used_Stroke_Length,User_Used_Stroke_Length,O68)</f>
        <v>5</v>
      </c>
      <c r="Q68">
        <f t="shared" si="10"/>
        <v>308.19981781657742</v>
      </c>
      <c r="R68">
        <f t="shared" si="11"/>
        <v>0.3081998178165774</v>
      </c>
    </row>
    <row r="69" spans="6:18" x14ac:dyDescent="0.25">
      <c r="F69">
        <f t="shared" ca="1" si="20"/>
        <v>0</v>
      </c>
      <c r="G69">
        <f t="shared" si="19"/>
        <v>4.875</v>
      </c>
      <c r="H69">
        <v>0.8125</v>
      </c>
      <c r="I69">
        <f t="shared" ref="I69:I84" si="27">H69*2*PI()</f>
        <v>5.1050880620834143</v>
      </c>
      <c r="J69">
        <f t="shared" si="21"/>
        <v>422.24843400229616</v>
      </c>
      <c r="K69">
        <f t="shared" ref="K69:K84" si="28">J69-$B$11</f>
        <v>272.24843400229616</v>
      </c>
      <c r="L69">
        <f t="shared" si="22"/>
        <v>-10</v>
      </c>
      <c r="M69">
        <f t="shared" ca="1" si="23"/>
        <v>5</v>
      </c>
      <c r="N69">
        <f t="shared" si="24"/>
        <v>-10</v>
      </c>
      <c r="O69">
        <f t="shared" ca="1" si="25"/>
        <v>175</v>
      </c>
      <c r="P69">
        <f t="shared" ca="1" si="26"/>
        <v>5</v>
      </c>
      <c r="Q69">
        <f t="shared" si="10"/>
        <v>312.10697397005481</v>
      </c>
      <c r="R69">
        <f t="shared" si="11"/>
        <v>0.31210697397005482</v>
      </c>
    </row>
    <row r="70" spans="6:18" x14ac:dyDescent="0.25">
      <c r="F70">
        <f t="shared" ca="1" si="20"/>
        <v>0</v>
      </c>
      <c r="G70">
        <f t="shared" si="19"/>
        <v>4.9499999999999993</v>
      </c>
      <c r="H70">
        <v>0.82499999999999996</v>
      </c>
      <c r="I70">
        <f t="shared" si="27"/>
        <v>5.1836278784231586</v>
      </c>
      <c r="J70">
        <f t="shared" si="21"/>
        <v>445.73505639898315</v>
      </c>
      <c r="K70">
        <f t="shared" si="28"/>
        <v>295.73505639898315</v>
      </c>
      <c r="L70">
        <f t="shared" si="22"/>
        <v>-10</v>
      </c>
      <c r="M70">
        <f t="shared" ca="1" si="23"/>
        <v>5</v>
      </c>
      <c r="N70">
        <f t="shared" si="24"/>
        <v>-10</v>
      </c>
      <c r="O70">
        <f t="shared" ca="1" si="25"/>
        <v>189.99999999999989</v>
      </c>
      <c r="P70">
        <f t="shared" ca="1" si="26"/>
        <v>5</v>
      </c>
      <c r="Q70">
        <f t="shared" ref="Q70:Q84" si="29">SLOPE(K69:K71,G69:G71)</f>
        <v>312.31647775508844</v>
      </c>
      <c r="R70">
        <f t="shared" ref="R70:R84" si="30">Q70/1000</f>
        <v>0.31231647775508842</v>
      </c>
    </row>
    <row r="71" spans="6:18" x14ac:dyDescent="0.25">
      <c r="F71">
        <f t="shared" ca="1" si="20"/>
        <v>0</v>
      </c>
      <c r="G71">
        <f t="shared" si="19"/>
        <v>5.0250000000000004</v>
      </c>
      <c r="H71">
        <v>0.83750000000000002</v>
      </c>
      <c r="I71">
        <f t="shared" si="27"/>
        <v>5.2621676947629039</v>
      </c>
      <c r="J71">
        <f t="shared" si="21"/>
        <v>469.09590566555954</v>
      </c>
      <c r="K71">
        <f t="shared" si="28"/>
        <v>319.09590566555954</v>
      </c>
      <c r="L71">
        <f t="shared" si="22"/>
        <v>-10</v>
      </c>
      <c r="M71">
        <f t="shared" ca="1" si="23"/>
        <v>5</v>
      </c>
      <c r="N71">
        <f t="shared" si="24"/>
        <v>-10</v>
      </c>
      <c r="O71">
        <f t="shared" ca="1" si="25"/>
        <v>205.00000000000011</v>
      </c>
      <c r="P71">
        <f t="shared" ca="1" si="26"/>
        <v>5</v>
      </c>
      <c r="Q71">
        <f t="shared" si="29"/>
        <v>308.73407013384707</v>
      </c>
      <c r="R71">
        <f t="shared" si="30"/>
        <v>0.30873407013384707</v>
      </c>
    </row>
    <row r="72" spans="6:18" x14ac:dyDescent="0.25">
      <c r="F72">
        <f t="shared" ca="1" si="20"/>
        <v>0</v>
      </c>
      <c r="G72">
        <f t="shared" si="19"/>
        <v>5.0999999999999996</v>
      </c>
      <c r="H72">
        <v>0.85</v>
      </c>
      <c r="I72">
        <f t="shared" si="27"/>
        <v>5.3407075111026483</v>
      </c>
      <c r="J72">
        <f t="shared" si="21"/>
        <v>492.04516691906031</v>
      </c>
      <c r="K72">
        <f t="shared" si="28"/>
        <v>342.04516691906031</v>
      </c>
      <c r="L72">
        <f t="shared" si="22"/>
        <v>-10</v>
      </c>
      <c r="M72">
        <f t="shared" ca="1" si="23"/>
        <v>5</v>
      </c>
      <c r="N72">
        <f t="shared" si="24"/>
        <v>-10</v>
      </c>
      <c r="O72">
        <f t="shared" ca="1" si="25"/>
        <v>219.99999999999989</v>
      </c>
      <c r="P72">
        <f t="shared" ca="1" si="26"/>
        <v>5</v>
      </c>
      <c r="Q72">
        <f t="shared" si="29"/>
        <v>301.3708165411424</v>
      </c>
      <c r="R72">
        <f t="shared" si="30"/>
        <v>0.30137081654114239</v>
      </c>
    </row>
    <row r="73" spans="6:18" x14ac:dyDescent="0.25">
      <c r="F73">
        <f t="shared" ca="1" si="20"/>
        <v>0</v>
      </c>
      <c r="G73">
        <f t="shared" si="19"/>
        <v>5.1750000000000007</v>
      </c>
      <c r="H73">
        <v>0.86250000000000004</v>
      </c>
      <c r="I73">
        <f t="shared" si="27"/>
        <v>5.4192473274423936</v>
      </c>
      <c r="J73">
        <f t="shared" si="21"/>
        <v>514.30152814673102</v>
      </c>
      <c r="K73">
        <f t="shared" si="28"/>
        <v>364.30152814673102</v>
      </c>
      <c r="L73">
        <f t="shared" si="22"/>
        <v>-10</v>
      </c>
      <c r="M73">
        <f t="shared" ca="1" si="23"/>
        <v>5</v>
      </c>
      <c r="N73">
        <f t="shared" si="24"/>
        <v>-10</v>
      </c>
      <c r="O73">
        <f t="shared" ca="1" si="25"/>
        <v>235.00000000000023</v>
      </c>
      <c r="P73">
        <f t="shared" ca="1" si="26"/>
        <v>5</v>
      </c>
      <c r="Q73">
        <f t="shared" si="29"/>
        <v>290.32687158506337</v>
      </c>
      <c r="R73">
        <f t="shared" si="30"/>
        <v>0.29032687158506337</v>
      </c>
    </row>
    <row r="74" spans="6:18" x14ac:dyDescent="0.25">
      <c r="F74">
        <f t="shared" ca="1" si="20"/>
        <v>0</v>
      </c>
      <c r="G74">
        <f t="shared" si="19"/>
        <v>5.25</v>
      </c>
      <c r="H74">
        <v>0.875</v>
      </c>
      <c r="I74">
        <f t="shared" si="27"/>
        <v>5.497787143782138</v>
      </c>
      <c r="J74">
        <f t="shared" si="21"/>
        <v>535.59419765681992</v>
      </c>
      <c r="K74">
        <f t="shared" si="28"/>
        <v>385.59419765681992</v>
      </c>
      <c r="L74">
        <f t="shared" si="22"/>
        <v>-10</v>
      </c>
      <c r="M74">
        <f t="shared" ca="1" si="23"/>
        <v>5</v>
      </c>
      <c r="N74">
        <f t="shared" si="24"/>
        <v>-10</v>
      </c>
      <c r="O74">
        <f t="shared" ca="1" si="25"/>
        <v>250</v>
      </c>
      <c r="P74">
        <f t="shared" ca="1" si="26"/>
        <v>5</v>
      </c>
      <c r="Q74">
        <f t="shared" si="29"/>
        <v>275.7737875129809</v>
      </c>
      <c r="R74">
        <f t="shared" si="30"/>
        <v>0.27577378751298093</v>
      </c>
    </row>
    <row r="75" spans="6:18" x14ac:dyDescent="0.25">
      <c r="F75">
        <f t="shared" ca="1" si="20"/>
        <v>0</v>
      </c>
      <c r="G75">
        <f t="shared" si="19"/>
        <v>5.3249999999999993</v>
      </c>
      <c r="H75">
        <v>0.88749999999999996</v>
      </c>
      <c r="I75">
        <f t="shared" si="27"/>
        <v>5.5763269601218823</v>
      </c>
      <c r="J75">
        <f t="shared" si="21"/>
        <v>555.66759627367776</v>
      </c>
      <c r="K75">
        <f t="shared" si="28"/>
        <v>405.66759627367776</v>
      </c>
      <c r="L75">
        <f t="shared" si="22"/>
        <v>-10</v>
      </c>
      <c r="M75">
        <f t="shared" ca="1" si="23"/>
        <v>5</v>
      </c>
      <c r="N75">
        <f t="shared" si="24"/>
        <v>-10</v>
      </c>
      <c r="O75">
        <f t="shared" ca="1" si="25"/>
        <v>264.99999999999977</v>
      </c>
      <c r="P75">
        <f t="shared" ca="1" si="26"/>
        <v>5</v>
      </c>
      <c r="Q75">
        <f t="shared" si="29"/>
        <v>257.93779600172843</v>
      </c>
      <c r="R75">
        <f t="shared" si="30"/>
        <v>0.25793779600172845</v>
      </c>
    </row>
    <row r="76" spans="6:18" x14ac:dyDescent="0.25">
      <c r="F76">
        <f t="shared" ca="1" si="20"/>
        <v>0</v>
      </c>
      <c r="G76">
        <f t="shared" si="19"/>
        <v>5.4</v>
      </c>
      <c r="H76">
        <v>0.9</v>
      </c>
      <c r="I76">
        <f t="shared" si="27"/>
        <v>5.6548667764616276</v>
      </c>
      <c r="J76">
        <f t="shared" si="21"/>
        <v>574.28486705707928</v>
      </c>
      <c r="K76">
        <f t="shared" si="28"/>
        <v>424.28486705707928</v>
      </c>
      <c r="L76">
        <f t="shared" si="22"/>
        <v>-10</v>
      </c>
      <c r="M76">
        <f t="shared" ca="1" si="23"/>
        <v>5</v>
      </c>
      <c r="N76">
        <f t="shared" si="24"/>
        <v>-10</v>
      </c>
      <c r="O76">
        <f t="shared" ca="1" si="25"/>
        <v>280</v>
      </c>
      <c r="P76">
        <f t="shared" ca="1" si="26"/>
        <v>5</v>
      </c>
      <c r="Q76">
        <f t="shared" si="29"/>
        <v>237.08541838832716</v>
      </c>
      <c r="R76">
        <f t="shared" si="30"/>
        <v>0.23708541838832717</v>
      </c>
    </row>
    <row r="77" spans="6:18" x14ac:dyDescent="0.25">
      <c r="F77">
        <f t="shared" ca="1" si="20"/>
        <v>0</v>
      </c>
      <c r="G77">
        <f t="shared" si="19"/>
        <v>5.4749999999999996</v>
      </c>
      <c r="H77">
        <v>0.91249999999999998</v>
      </c>
      <c r="I77">
        <f t="shared" si="27"/>
        <v>5.733406592801372</v>
      </c>
      <c r="J77">
        <f t="shared" si="21"/>
        <v>591.23040903192691</v>
      </c>
      <c r="K77">
        <f t="shared" si="28"/>
        <v>441.23040903192691</v>
      </c>
      <c r="L77">
        <f t="shared" si="22"/>
        <v>-10</v>
      </c>
      <c r="M77">
        <f t="shared" ca="1" si="23"/>
        <v>5</v>
      </c>
      <c r="N77">
        <f t="shared" si="24"/>
        <v>-10</v>
      </c>
      <c r="O77">
        <f t="shared" ca="1" si="25"/>
        <v>295</v>
      </c>
      <c r="P77">
        <f t="shared" ca="1" si="26"/>
        <v>5</v>
      </c>
      <c r="Q77">
        <f t="shared" si="29"/>
        <v>213.51189493306438</v>
      </c>
      <c r="R77">
        <f t="shared" si="30"/>
        <v>0.21351189493306438</v>
      </c>
    </row>
    <row r="78" spans="6:18" x14ac:dyDescent="0.25">
      <c r="F78">
        <f t="shared" ca="1" si="20"/>
        <v>0</v>
      </c>
      <c r="G78">
        <f t="shared" si="19"/>
        <v>5.5500000000000007</v>
      </c>
      <c r="H78">
        <v>0.92500000000000004</v>
      </c>
      <c r="I78">
        <f t="shared" si="27"/>
        <v>5.8119464091411173</v>
      </c>
      <c r="J78">
        <f t="shared" si="21"/>
        <v>606.31165129703902</v>
      </c>
      <c r="K78">
        <f t="shared" si="28"/>
        <v>456.31165129703902</v>
      </c>
      <c r="L78">
        <f t="shared" si="22"/>
        <v>-10</v>
      </c>
      <c r="M78">
        <f t="shared" ca="1" si="23"/>
        <v>5</v>
      </c>
      <c r="N78">
        <f t="shared" si="24"/>
        <v>-10</v>
      </c>
      <c r="O78">
        <f t="shared" ca="1" si="25"/>
        <v>310.00000000000023</v>
      </c>
      <c r="P78">
        <f t="shared" ca="1" si="26"/>
        <v>5</v>
      </c>
      <c r="Q78">
        <f t="shared" si="29"/>
        <v>187.53235751130396</v>
      </c>
      <c r="R78">
        <f t="shared" si="30"/>
        <v>0.18753235751130395</v>
      </c>
    </row>
    <row r="79" spans="6:18" x14ac:dyDescent="0.25">
      <c r="F79">
        <f t="shared" ca="1" si="20"/>
        <v>0</v>
      </c>
      <c r="G79">
        <f t="shared" si="19"/>
        <v>5.625</v>
      </c>
      <c r="H79">
        <v>0.9375</v>
      </c>
      <c r="I79">
        <f t="shared" si="27"/>
        <v>5.8904862254808616</v>
      </c>
      <c r="J79">
        <f t="shared" si="21"/>
        <v>619.36026265862256</v>
      </c>
      <c r="K79">
        <f t="shared" si="28"/>
        <v>469.36026265862256</v>
      </c>
      <c r="L79">
        <f t="shared" si="22"/>
        <v>-10</v>
      </c>
      <c r="M79">
        <f t="shared" ca="1" si="23"/>
        <v>5</v>
      </c>
      <c r="N79">
        <f t="shared" si="24"/>
        <v>-10</v>
      </c>
      <c r="O79">
        <f t="shared" ca="1" si="25"/>
        <v>325</v>
      </c>
      <c r="P79">
        <f t="shared" ca="1" si="26"/>
        <v>5</v>
      </c>
      <c r="Q79">
        <f t="shared" si="29"/>
        <v>159.47537288561915</v>
      </c>
      <c r="R79">
        <f t="shared" si="30"/>
        <v>0.15947537288561914</v>
      </c>
    </row>
    <row r="80" spans="6:18" x14ac:dyDescent="0.25">
      <c r="F80">
        <f t="shared" ca="1" si="20"/>
        <v>0</v>
      </c>
      <c r="G80">
        <f t="shared" si="19"/>
        <v>5.6999999999999993</v>
      </c>
      <c r="H80">
        <v>0.95</v>
      </c>
      <c r="I80">
        <f t="shared" si="27"/>
        <v>5.9690260418206069</v>
      </c>
      <c r="J80">
        <f t="shared" si="21"/>
        <v>630.23295722988166</v>
      </c>
      <c r="K80">
        <f t="shared" si="28"/>
        <v>480.23295722988166</v>
      </c>
      <c r="L80">
        <f t="shared" si="22"/>
        <v>-10</v>
      </c>
      <c r="M80">
        <f t="shared" ca="1" si="23"/>
        <v>5</v>
      </c>
      <c r="N80">
        <f t="shared" si="24"/>
        <v>-10</v>
      </c>
      <c r="O80">
        <f t="shared" ca="1" si="25"/>
        <v>339.99999999999977</v>
      </c>
      <c r="P80">
        <f t="shared" ca="1" si="26"/>
        <v>5</v>
      </c>
      <c r="Q80">
        <f t="shared" si="29"/>
        <v>129.6783790897473</v>
      </c>
      <c r="R80">
        <f t="shared" si="30"/>
        <v>0.1296783790897473</v>
      </c>
    </row>
    <row r="81" spans="6:18" x14ac:dyDescent="0.25">
      <c r="F81">
        <f t="shared" ca="1" si="20"/>
        <v>0</v>
      </c>
      <c r="G81">
        <f t="shared" si="19"/>
        <v>5.7750000000000004</v>
      </c>
      <c r="H81">
        <v>0.96250000000000002</v>
      </c>
      <c r="I81">
        <f t="shared" si="27"/>
        <v>6.0475658581603522</v>
      </c>
      <c r="J81">
        <f t="shared" si="21"/>
        <v>638.81201952208471</v>
      </c>
      <c r="K81">
        <f t="shared" si="28"/>
        <v>488.81201952208471</v>
      </c>
      <c r="L81">
        <f t="shared" si="22"/>
        <v>-10</v>
      </c>
      <c r="M81">
        <f t="shared" ca="1" si="23"/>
        <v>5</v>
      </c>
      <c r="N81">
        <f t="shared" si="24"/>
        <v>-10</v>
      </c>
      <c r="O81">
        <f t="shared" ca="1" si="25"/>
        <v>355</v>
      </c>
      <c r="P81">
        <f t="shared" ca="1" si="26"/>
        <v>5</v>
      </c>
      <c r="Q81">
        <f t="shared" si="29"/>
        <v>98.484547540733047</v>
      </c>
      <c r="R81">
        <f t="shared" si="30"/>
        <v>9.8484547540733047E-2</v>
      </c>
    </row>
    <row r="82" spans="6:18" x14ac:dyDescent="0.25">
      <c r="F82">
        <f t="shared" ca="1" si="20"/>
        <v>0</v>
      </c>
      <c r="G82">
        <f t="shared" si="19"/>
        <v>5.8500000000000059</v>
      </c>
      <c r="H82">
        <v>0.97500000000000098</v>
      </c>
      <c r="I82">
        <f t="shared" si="27"/>
        <v>6.1261056745001028</v>
      </c>
      <c r="J82">
        <f t="shared" si="21"/>
        <v>645.00563936099229</v>
      </c>
      <c r="K82">
        <f t="shared" si="28"/>
        <v>495.00563936099229</v>
      </c>
      <c r="L82">
        <f t="shared" si="22"/>
        <v>-10</v>
      </c>
      <c r="M82">
        <f t="shared" ca="1" si="23"/>
        <v>5</v>
      </c>
      <c r="N82">
        <f t="shared" si="24"/>
        <v>-10</v>
      </c>
      <c r="O82">
        <f t="shared" ca="1" si="25"/>
        <v>370.00000000000114</v>
      </c>
      <c r="P82">
        <f t="shared" ca="1" si="26"/>
        <v>5</v>
      </c>
      <c r="Q82">
        <f t="shared" si="29"/>
        <v>66.240668383128266</v>
      </c>
      <c r="R82">
        <f t="shared" si="30"/>
        <v>6.6240668383128268E-2</v>
      </c>
    </row>
    <row r="83" spans="6:18" x14ac:dyDescent="0.25">
      <c r="F83">
        <f t="shared" ca="1" si="20"/>
        <v>0</v>
      </c>
      <c r="G83">
        <f t="shared" si="19"/>
        <v>5.9250000000000007</v>
      </c>
      <c r="H83">
        <v>0.98750000000000004</v>
      </c>
      <c r="I83">
        <f t="shared" si="27"/>
        <v>6.2046454908398418</v>
      </c>
      <c r="J83">
        <f t="shared" si="21"/>
        <v>648.74811977955392</v>
      </c>
      <c r="K83">
        <f t="shared" si="28"/>
        <v>498.74811977955392</v>
      </c>
      <c r="L83">
        <f t="shared" si="22"/>
        <v>-10</v>
      </c>
      <c r="M83">
        <f t="shared" ca="1" si="23"/>
        <v>5</v>
      </c>
      <c r="N83">
        <f t="shared" si="24"/>
        <v>-10</v>
      </c>
      <c r="O83">
        <f t="shared" ca="1" si="25"/>
        <v>385.00000000000023</v>
      </c>
      <c r="P83">
        <f t="shared" ca="1" si="26"/>
        <v>5</v>
      </c>
      <c r="Q83">
        <f t="shared" si="29"/>
        <v>33.295737593385859</v>
      </c>
      <c r="R83">
        <f t="shared" si="30"/>
        <v>3.329573759338586E-2</v>
      </c>
    </row>
    <row r="84" spans="6:18" x14ac:dyDescent="0.25">
      <c r="F84">
        <f t="shared" ca="1" si="20"/>
        <v>0</v>
      </c>
      <c r="G84">
        <f>B8</f>
        <v>6</v>
      </c>
      <c r="H84">
        <v>1</v>
      </c>
      <c r="I84">
        <f t="shared" si="27"/>
        <v>6.2831853071795862</v>
      </c>
      <c r="J84">
        <f t="shared" si="21"/>
        <v>650</v>
      </c>
      <c r="K84">
        <f t="shared" si="28"/>
        <v>500</v>
      </c>
      <c r="L84">
        <f t="shared" si="22"/>
        <v>-10</v>
      </c>
      <c r="M84">
        <f t="shared" ca="1" si="23"/>
        <v>5</v>
      </c>
      <c r="N84">
        <f t="shared" si="24"/>
        <v>-10</v>
      </c>
      <c r="O84">
        <f t="shared" ca="1" si="25"/>
        <v>400</v>
      </c>
      <c r="P84">
        <f t="shared" ca="1" si="26"/>
        <v>5</v>
      </c>
      <c r="Q84">
        <f t="shared" si="29"/>
        <v>16.691736272614595</v>
      </c>
      <c r="R84">
        <f t="shared" si="30"/>
        <v>1.6691736272614596E-2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1"/>
  <dimension ref="A1:X106"/>
  <sheetViews>
    <sheetView zoomScale="80" zoomScaleNormal="80" workbookViewId="0">
      <selection activeCell="J20" sqref="J20"/>
    </sheetView>
  </sheetViews>
  <sheetFormatPr defaultRowHeight="15" x14ac:dyDescent="0.25"/>
  <cols>
    <col min="2" max="2" width="21.42578125" bestFit="1" customWidth="1"/>
    <col min="3" max="3" width="27.140625" customWidth="1"/>
    <col min="4" max="4" width="25.5703125" bestFit="1" customWidth="1"/>
    <col min="5" max="5" width="17.42578125" customWidth="1"/>
    <col min="6" max="6" width="25.7109375" customWidth="1"/>
    <col min="7" max="7" width="40.28515625" customWidth="1"/>
    <col min="8" max="8" width="20" customWidth="1"/>
    <col min="9" max="9" width="13" bestFit="1" customWidth="1"/>
    <col min="18" max="18" width="14.5703125" customWidth="1"/>
    <col min="19" max="19" width="14.85546875" customWidth="1"/>
    <col min="20" max="20" width="26.5703125" customWidth="1"/>
    <col min="21" max="21" width="23.5703125" customWidth="1"/>
    <col min="22" max="22" width="19.28515625" customWidth="1"/>
    <col min="23" max="23" width="43.7109375" customWidth="1"/>
    <col min="24" max="24" width="16.7109375" customWidth="1"/>
  </cols>
  <sheetData>
    <row r="1" spans="1:23" x14ac:dyDescent="0.25">
      <c r="T1" t="s">
        <v>867</v>
      </c>
      <c r="U1">
        <f ca="1">H13/G20</f>
        <v>3.052844176954514</v>
      </c>
    </row>
    <row r="2" spans="1:23" x14ac:dyDescent="0.25">
      <c r="C2">
        <f ca="1">User_Used_Stroke_Length</f>
        <v>5</v>
      </c>
      <c r="D2" t="s">
        <v>7</v>
      </c>
      <c r="T2" t="s">
        <v>865</v>
      </c>
      <c r="U2">
        <f ca="1">(0.75*H13)/G20</f>
        <v>2.2896331327158856</v>
      </c>
    </row>
    <row r="3" spans="1:23" x14ac:dyDescent="0.25">
      <c r="C3" t="e">
        <f>Stroke_margin</f>
        <v>#NAME?</v>
      </c>
      <c r="D3" t="s">
        <v>7</v>
      </c>
      <c r="T3" t="s">
        <v>868</v>
      </c>
      <c r="U3">
        <f ca="1">(0.5*H13)/G20</f>
        <v>1.526422088477257</v>
      </c>
    </row>
    <row r="4" spans="1:23" x14ac:dyDescent="0.25">
      <c r="B4" t="s">
        <v>856</v>
      </c>
      <c r="C4" t="e">
        <f ca="1">C2-C3</f>
        <v>#NAME?</v>
      </c>
      <c r="D4" t="s">
        <v>7</v>
      </c>
      <c r="T4" t="s">
        <v>866</v>
      </c>
      <c r="U4">
        <f ca="1">(0.25*H13)/G20</f>
        <v>0.76321104423862851</v>
      </c>
    </row>
    <row r="7" spans="1:23" x14ac:dyDescent="0.25">
      <c r="B7" t="s">
        <v>854</v>
      </c>
      <c r="C7" t="s">
        <v>853</v>
      </c>
      <c r="D7" t="s">
        <v>855</v>
      </c>
      <c r="E7" t="s">
        <v>851</v>
      </c>
      <c r="F7" t="s">
        <v>852</v>
      </c>
      <c r="G7" t="s">
        <v>861</v>
      </c>
      <c r="H7" t="s">
        <v>850</v>
      </c>
    </row>
    <row r="8" spans="1:23" x14ac:dyDescent="0.25">
      <c r="A8">
        <v>1500</v>
      </c>
      <c r="B8">
        <v>80</v>
      </c>
      <c r="C8">
        <v>36</v>
      </c>
      <c r="D8">
        <v>12</v>
      </c>
      <c r="E8">
        <f ca="1">KF1500VOL_ov(User_Used_Stroke_Length)</f>
        <v>26412</v>
      </c>
      <c r="F8">
        <f ca="1">KF1500VOL_ne(User_Used_Stroke_Length)-H8</f>
        <v>21282</v>
      </c>
      <c r="G8">
        <f ca="1">KF1500VOL_ne(User_Used_Stroke_Length)</f>
        <v>36282</v>
      </c>
      <c r="H8">
        <f ca="1">KF1500_Oil(User_Used_Stroke_Length)</f>
        <v>15000</v>
      </c>
      <c r="R8" s="1" t="s">
        <v>860</v>
      </c>
      <c r="S8" t="s">
        <v>856</v>
      </c>
      <c r="T8" t="s">
        <v>862</v>
      </c>
      <c r="U8" t="s">
        <v>863</v>
      </c>
      <c r="V8" t="s">
        <v>864</v>
      </c>
      <c r="W8" t="s">
        <v>869</v>
      </c>
    </row>
    <row r="9" spans="1:23" x14ac:dyDescent="0.25">
      <c r="A9">
        <v>3000</v>
      </c>
      <c r="B9">
        <v>100</v>
      </c>
      <c r="C9">
        <v>50</v>
      </c>
      <c r="D9">
        <v>12</v>
      </c>
      <c r="E9">
        <f ca="1">KF3000VOL_ov(User_Used_Stroke_Length)</f>
        <v>29248</v>
      </c>
      <c r="F9">
        <f ca="1">KF3000VOL_ne(User_Used_Stroke_Length)-H9</f>
        <v>42571</v>
      </c>
      <c r="G9">
        <f ca="1">KF3000VOL_ne(User_Used_Stroke_Length)</f>
        <v>57571</v>
      </c>
      <c r="H9">
        <f ca="1">KF3000_Oil(User_Used_Stroke_Length)</f>
        <v>15000</v>
      </c>
      <c r="R9" s="60">
        <v>0.7</v>
      </c>
      <c r="S9">
        <f t="shared" ref="S9:S39" ca="1" si="0">User_Used_Stroke_Length*R9</f>
        <v>3.5</v>
      </c>
      <c r="T9" s="18">
        <f ca="1">($G$13-S9*$G$20)/$G$20</f>
        <v>3.8842194952175788</v>
      </c>
      <c r="U9" s="18">
        <f ca="1">($E$13+S9*$G$19)/$G$19</f>
        <v>10.280000575714741</v>
      </c>
      <c r="V9" s="55">
        <f ca="1">T9/U9</f>
        <v>0.37784234218756541</v>
      </c>
      <c r="W9">
        <f t="shared" ref="W9:W39" ca="1" si="1">(T9*U9*($G$21^(1/1.4)-1))/(U9+T9*$G$21^(1/1.4))</f>
        <v>0.48445727376923831</v>
      </c>
    </row>
    <row r="10" spans="1:23" x14ac:dyDescent="0.25">
      <c r="A10">
        <v>5000</v>
      </c>
      <c r="B10">
        <v>125</v>
      </c>
      <c r="C10">
        <v>65</v>
      </c>
      <c r="D10">
        <v>15</v>
      </c>
      <c r="E10">
        <f ca="1">KF5000VOL_ov(User_Used_Stroke_Length)</f>
        <v>101815</v>
      </c>
      <c r="F10">
        <f ca="1">KF5000VOL_ne(User_Used_Stroke_Length)-H10</f>
        <v>72534</v>
      </c>
      <c r="G10">
        <f ca="1">KF5000VOL_ne(User_Used_Stroke_Length)</f>
        <v>102534</v>
      </c>
      <c r="H10">
        <f ca="1">KF5000_Oil(User_Used_Stroke_Length)</f>
        <v>30000</v>
      </c>
      <c r="R10" s="60">
        <v>0.71</v>
      </c>
      <c r="S10">
        <f t="shared" ca="1" si="0"/>
        <v>3.55</v>
      </c>
      <c r="T10" s="18">
        <f t="shared" ref="T10:T39" ca="1" si="2">($G$13-S10*$G$20)/$G$20</f>
        <v>3.8342194952175785</v>
      </c>
      <c r="U10" s="18">
        <f t="shared" ref="U10:U39" ca="1" si="3">($E$13+S10*$G$19)/$G$19</f>
        <v>10.330000575714742</v>
      </c>
      <c r="V10" s="55">
        <f t="shared" ref="V10:V39" ca="1" si="4">T10/U10</f>
        <v>0.37117321215176075</v>
      </c>
      <c r="W10">
        <f t="shared" ca="1" si="1"/>
        <v>0.4808387216368708</v>
      </c>
    </row>
    <row r="11" spans="1:23" x14ac:dyDescent="0.25">
      <c r="A11">
        <v>7500</v>
      </c>
      <c r="B11">
        <v>160</v>
      </c>
      <c r="C11">
        <v>80</v>
      </c>
      <c r="D11">
        <v>15</v>
      </c>
      <c r="E11">
        <f ca="1">KF7500VOL_ov(User_Used_Stroke_Length)</f>
        <v>424997</v>
      </c>
      <c r="F11">
        <f ca="1">KF7500VOL_ne(User_Used_Stroke_Length)-H11</f>
        <v>100311</v>
      </c>
      <c r="G11">
        <f ca="1">KF7500VOL_ne(User_Used_Stroke_Length)</f>
        <v>150311</v>
      </c>
      <c r="H11">
        <f ca="1">KF7500_Oil(User_Used_Stroke_Length)</f>
        <v>50000</v>
      </c>
      <c r="R11" s="60">
        <v>0.72</v>
      </c>
      <c r="S11">
        <f t="shared" ca="1" si="0"/>
        <v>3.5999999999999996</v>
      </c>
      <c r="T11" s="18">
        <f t="shared" ca="1" si="2"/>
        <v>3.7842194952175792</v>
      </c>
      <c r="U11" s="18">
        <f t="shared" ca="1" si="3"/>
        <v>10.380000575714741</v>
      </c>
      <c r="V11" s="55">
        <f t="shared" ca="1" si="4"/>
        <v>0.36456833192005939</v>
      </c>
      <c r="W11">
        <f t="shared" ca="1" si="1"/>
        <v>0.47715503653203767</v>
      </c>
    </row>
    <row r="12" spans="1:23" x14ac:dyDescent="0.25">
      <c r="R12" s="60">
        <v>0.73</v>
      </c>
      <c r="S12">
        <f t="shared" ca="1" si="0"/>
        <v>3.65</v>
      </c>
      <c r="T12" s="18">
        <f t="shared" ca="1" si="2"/>
        <v>3.7342194952175789</v>
      </c>
      <c r="U12" s="18">
        <f t="shared" ca="1" si="3"/>
        <v>10.430000575714741</v>
      </c>
      <c r="V12" s="55">
        <f t="shared" ca="1" si="4"/>
        <v>0.35802677747807143</v>
      </c>
      <c r="W12">
        <f t="shared" ca="1" si="1"/>
        <v>0.47340609970249281</v>
      </c>
    </row>
    <row r="13" spans="1:23" x14ac:dyDescent="0.25">
      <c r="A13">
        <f>Force_Size</f>
        <v>1500</v>
      </c>
      <c r="B13">
        <f>VLOOKUP($A$13,$A$8:$I$11,2)</f>
        <v>80</v>
      </c>
      <c r="C13">
        <f>VLOOKUP($A$13,$A$8:$I$11,3)</f>
        <v>36</v>
      </c>
      <c r="D13">
        <f>VLOOKUP($A$13,$A$8:$I$11,4)</f>
        <v>12</v>
      </c>
      <c r="E13">
        <f ca="1">VLOOKUP($A$13,$A$8:$I$11,5)</f>
        <v>26412</v>
      </c>
      <c r="F13">
        <f ca="1">VLOOKUP($A$13,$A$8:$I$11,6)</f>
        <v>21282</v>
      </c>
      <c r="G13">
        <f ca="1">VLOOKUP($A$13,$A$8:$I$11,7)</f>
        <v>36282</v>
      </c>
      <c r="H13">
        <f ca="1">VLOOKUP($A$13,$A$8:$I$11,8)</f>
        <v>15000</v>
      </c>
      <c r="R13" s="60">
        <v>0.74</v>
      </c>
      <c r="S13">
        <f t="shared" ca="1" si="0"/>
        <v>3.7</v>
      </c>
      <c r="T13" s="18">
        <f t="shared" ca="1" si="2"/>
        <v>3.6842194952175791</v>
      </c>
      <c r="U13" s="18">
        <f t="shared" ca="1" si="3"/>
        <v>10.480000575714742</v>
      </c>
      <c r="V13" s="55">
        <f t="shared" ca="1" si="4"/>
        <v>0.35154764244526898</v>
      </c>
      <c r="W13">
        <f t="shared" ca="1" si="1"/>
        <v>0.46959179210713142</v>
      </c>
    </row>
    <row r="14" spans="1:23" x14ac:dyDescent="0.25">
      <c r="R14" s="60">
        <v>0.75</v>
      </c>
      <c r="S14">
        <f t="shared" ca="1" si="0"/>
        <v>3.75</v>
      </c>
      <c r="T14" s="18">
        <f t="shared" ca="1" si="2"/>
        <v>3.6342194952175788</v>
      </c>
      <c r="U14" s="18">
        <f t="shared" ca="1" si="3"/>
        <v>10.530000575714741</v>
      </c>
      <c r="V14" s="55">
        <f t="shared" ca="1" si="4"/>
        <v>0.34513003765632749</v>
      </c>
      <c r="W14">
        <f t="shared" ca="1" si="1"/>
        <v>0.46571199441511096</v>
      </c>
    </row>
    <row r="15" spans="1:23" x14ac:dyDescent="0.25">
      <c r="R15" s="60">
        <v>0.76</v>
      </c>
      <c r="S15">
        <f t="shared" ca="1" si="0"/>
        <v>3.8</v>
      </c>
      <c r="T15" s="18">
        <f t="shared" ca="1" si="2"/>
        <v>3.5842194952175785</v>
      </c>
      <c r="U15" s="18">
        <f t="shared" ca="1" si="3"/>
        <v>10.580000575714742</v>
      </c>
      <c r="V15" s="55">
        <f t="shared" ca="1" si="4"/>
        <v>0.33877309075433992</v>
      </c>
      <c r="W15">
        <f t="shared" ca="1" si="1"/>
        <v>0.46176658700496981</v>
      </c>
    </row>
    <row r="16" spans="1:23" x14ac:dyDescent="0.25">
      <c r="R16" s="60">
        <v>0.77</v>
      </c>
      <c r="S16">
        <f t="shared" ca="1" si="0"/>
        <v>3.85</v>
      </c>
      <c r="T16" s="18">
        <f t="shared" ca="1" si="2"/>
        <v>3.5342194952175783</v>
      </c>
      <c r="U16" s="18">
        <f t="shared" ca="1" si="3"/>
        <v>10.630000575714742</v>
      </c>
      <c r="V16" s="55">
        <f t="shared" ca="1" si="4"/>
        <v>0.33247594579551032</v>
      </c>
      <c r="W16">
        <f t="shared" ca="1" si="1"/>
        <v>0.45775544996374062</v>
      </c>
    </row>
    <row r="17" spans="2:23" x14ac:dyDescent="0.25">
      <c r="R17" s="60">
        <v>0.78</v>
      </c>
      <c r="S17">
        <f t="shared" ca="1" si="0"/>
        <v>3.9000000000000004</v>
      </c>
      <c r="T17" s="18">
        <f t="shared" ca="1" si="2"/>
        <v>3.4842194952175785</v>
      </c>
      <c r="U17" s="18">
        <f t="shared" ca="1" si="3"/>
        <v>10.680000575714743</v>
      </c>
      <c r="V17" s="55">
        <f t="shared" ca="1" si="4"/>
        <v>0.3262377628649521</v>
      </c>
      <c r="W17">
        <f t="shared" ca="1" si="1"/>
        <v>0.45367846308606358</v>
      </c>
    </row>
    <row r="18" spans="2:23" x14ac:dyDescent="0.25">
      <c r="B18" s="1"/>
      <c r="C18" s="1"/>
      <c r="D18" s="1"/>
      <c r="R18" s="60">
        <v>0.79</v>
      </c>
      <c r="S18">
        <f t="shared" ca="1" si="0"/>
        <v>3.95</v>
      </c>
      <c r="T18" s="18">
        <f t="shared" ca="1" si="2"/>
        <v>3.4342194952175791</v>
      </c>
      <c r="U18" s="18">
        <f t="shared" ca="1" si="3"/>
        <v>10.730000575714742</v>
      </c>
      <c r="V18" s="55">
        <f t="shared" ca="1" si="4"/>
        <v>0.32005771770322766</v>
      </c>
      <c r="W18">
        <f t="shared" ca="1" si="1"/>
        <v>0.449535505873293</v>
      </c>
    </row>
    <row r="19" spans="2:23" x14ac:dyDescent="0.25">
      <c r="B19" s="1"/>
      <c r="C19" s="10"/>
      <c r="D19" s="1"/>
      <c r="F19" t="s">
        <v>857</v>
      </c>
      <c r="G19">
        <f>0.25*PI()*(Dt^2-Dks^2-Dksi^2)</f>
        <v>3895.5748904513434</v>
      </c>
      <c r="R19" s="60">
        <v>0.8</v>
      </c>
      <c r="S19">
        <f t="shared" ca="1" si="0"/>
        <v>4</v>
      </c>
      <c r="T19" s="18">
        <f t="shared" ca="1" si="2"/>
        <v>3.3842194952175788</v>
      </c>
      <c r="U19" s="18">
        <f t="shared" ca="1" si="3"/>
        <v>10.780000575714743</v>
      </c>
      <c r="V19" s="55">
        <f t="shared" ca="1" si="4"/>
        <v>0.31393500134328112</v>
      </c>
      <c r="W19">
        <f t="shared" ca="1" si="1"/>
        <v>0.44532645753260347</v>
      </c>
    </row>
    <row r="20" spans="2:23" x14ac:dyDescent="0.25">
      <c r="B20" s="1"/>
      <c r="C20" s="59"/>
      <c r="D20" s="1"/>
      <c r="F20" t="s">
        <v>858</v>
      </c>
      <c r="G20">
        <f>0.25*PI()*(Dt^2-Dksi^2)</f>
        <v>4913.4509102144366</v>
      </c>
      <c r="R20" s="60">
        <v>0.81</v>
      </c>
      <c r="S20">
        <f t="shared" ca="1" si="0"/>
        <v>4.0500000000000007</v>
      </c>
      <c r="T20" s="18">
        <f t="shared" ca="1" si="2"/>
        <v>3.3342194952175781</v>
      </c>
      <c r="U20" s="18">
        <f t="shared" ca="1" si="3"/>
        <v>10.830000575714744</v>
      </c>
      <c r="V20" s="55">
        <f t="shared" ca="1" si="4"/>
        <v>0.3078688197574293</v>
      </c>
      <c r="W20">
        <f t="shared" ca="1" si="1"/>
        <v>0.44105119697609102</v>
      </c>
    </row>
    <row r="21" spans="2:23" x14ac:dyDescent="0.25">
      <c r="B21" s="1"/>
      <c r="C21" s="10"/>
      <c r="D21" s="1"/>
      <c r="F21" t="s">
        <v>859</v>
      </c>
      <c r="G21">
        <f>G20/G19</f>
        <v>1.2612903225806451</v>
      </c>
      <c r="R21" s="60">
        <v>0.82</v>
      </c>
      <c r="S21">
        <f t="shared" ca="1" si="0"/>
        <v>4.0999999999999996</v>
      </c>
      <c r="T21" s="18">
        <f t="shared" ca="1" si="2"/>
        <v>3.2842194952175792</v>
      </c>
      <c r="U21" s="18">
        <f t="shared" ca="1" si="3"/>
        <v>10.880000575714741</v>
      </c>
      <c r="V21" s="55">
        <f t="shared" ca="1" si="4"/>
        <v>0.30185839351408572</v>
      </c>
      <c r="W21">
        <f t="shared" ca="1" si="1"/>
        <v>0.43670960281987187</v>
      </c>
    </row>
    <row r="22" spans="2:23" x14ac:dyDescent="0.25">
      <c r="B22" s="1"/>
      <c r="C22" s="10"/>
      <c r="D22" s="1"/>
      <c r="G22" s="1"/>
      <c r="R22" s="60">
        <v>0.83</v>
      </c>
      <c r="S22">
        <f t="shared" ca="1" si="0"/>
        <v>4.1499999999999995</v>
      </c>
      <c r="T22" s="18">
        <f t="shared" ca="1" si="2"/>
        <v>3.2342194952175789</v>
      </c>
      <c r="U22" s="18">
        <f t="shared" ca="1" si="3"/>
        <v>10.930000575714741</v>
      </c>
      <c r="V22" s="55">
        <f t="shared" ca="1" si="4"/>
        <v>0.29590295744390527</v>
      </c>
      <c r="W22">
        <f t="shared" ca="1" si="1"/>
        <v>0.43230155338317677</v>
      </c>
    </row>
    <row r="23" spans="2:23" x14ac:dyDescent="0.25">
      <c r="B23" s="1"/>
      <c r="C23" s="10"/>
      <c r="D23" s="1"/>
      <c r="R23" s="60">
        <v>0.84</v>
      </c>
      <c r="S23">
        <f t="shared" ca="1" si="0"/>
        <v>4.2</v>
      </c>
      <c r="T23" s="18">
        <f t="shared" ca="1" si="2"/>
        <v>3.1842194952175791</v>
      </c>
      <c r="U23" s="18">
        <f t="shared" ca="1" si="3"/>
        <v>10.980000575714742</v>
      </c>
      <c r="V23" s="55">
        <f t="shared" ca="1" si="4"/>
        <v>0.29000176031505376</v>
      </c>
      <c r="W23">
        <f t="shared" ca="1" si="1"/>
        <v>0.42782692668744399</v>
      </c>
    </row>
    <row r="24" spans="2:23" x14ac:dyDescent="0.25">
      <c r="B24" s="1"/>
      <c r="C24" s="59"/>
      <c r="D24" s="1"/>
      <c r="R24" s="60">
        <v>0.85</v>
      </c>
      <c r="S24">
        <f t="shared" ca="1" si="0"/>
        <v>4.25</v>
      </c>
      <c r="T24" s="18">
        <f t="shared" ca="1" si="2"/>
        <v>3.1342194952175788</v>
      </c>
      <c r="U24" s="18">
        <f t="shared" ca="1" si="3"/>
        <v>11.030000575714741</v>
      </c>
      <c r="V24" s="55">
        <f t="shared" ca="1" si="4"/>
        <v>0.2841540645173069</v>
      </c>
      <c r="W24">
        <f t="shared" ca="1" si="1"/>
        <v>0.42328560045540659</v>
      </c>
    </row>
    <row r="25" spans="2:23" x14ac:dyDescent="0.25">
      <c r="B25" s="1"/>
      <c r="C25" s="10"/>
      <c r="D25" s="1"/>
      <c r="R25" s="60">
        <v>0.86</v>
      </c>
      <c r="S25">
        <f t="shared" ca="1" si="0"/>
        <v>4.3</v>
      </c>
      <c r="T25" s="18">
        <f t="shared" ca="1" si="2"/>
        <v>3.0842194952175785</v>
      </c>
      <c r="U25" s="18">
        <f t="shared" ca="1" si="3"/>
        <v>11.080000575714742</v>
      </c>
      <c r="V25" s="55">
        <f t="shared" ca="1" si="4"/>
        <v>0.2783591457547035</v>
      </c>
      <c r="W25">
        <f t="shared" ca="1" si="1"/>
        <v>0.41867745211017821</v>
      </c>
    </row>
    <row r="26" spans="2:23" x14ac:dyDescent="0.25">
      <c r="B26" s="1"/>
      <c r="C26" s="10"/>
      <c r="D26" s="1"/>
      <c r="R26" s="60">
        <v>0.87</v>
      </c>
      <c r="S26">
        <f t="shared" ca="1" si="0"/>
        <v>4.3499999999999996</v>
      </c>
      <c r="T26" s="18">
        <f t="shared" ca="1" si="2"/>
        <v>3.0342194952175792</v>
      </c>
      <c r="U26" s="18">
        <f t="shared" ca="1" si="3"/>
        <v>11.130000575714741</v>
      </c>
      <c r="V26" s="55">
        <f t="shared" ca="1" si="4"/>
        <v>0.27261629274648347</v>
      </c>
      <c r="W26">
        <f t="shared" ca="1" si="1"/>
        <v>0.41400235877433489</v>
      </c>
    </row>
    <row r="27" spans="2:23" x14ac:dyDescent="0.25">
      <c r="B27" s="1"/>
      <c r="C27" s="10"/>
      <c r="D27" s="1"/>
      <c r="R27" s="60">
        <v>0.88</v>
      </c>
      <c r="S27">
        <f t="shared" ca="1" si="0"/>
        <v>4.4000000000000004</v>
      </c>
      <c r="T27" s="18">
        <f t="shared" ca="1" si="2"/>
        <v>2.9842194952175785</v>
      </c>
      <c r="U27" s="18">
        <f t="shared" ca="1" si="3"/>
        <v>11.180000575714741</v>
      </c>
      <c r="V27" s="55">
        <f t="shared" ca="1" si="4"/>
        <v>0.26692480693604942</v>
      </c>
      <c r="W27">
        <f t="shared" ca="1" si="1"/>
        <v>0.40926019726899249</v>
      </c>
    </row>
    <row r="28" spans="2:23" x14ac:dyDescent="0.25">
      <c r="B28" s="1"/>
      <c r="C28" s="1"/>
      <c r="D28" s="1"/>
      <c r="R28" s="60">
        <v>0.89</v>
      </c>
      <c r="S28">
        <f t="shared" ca="1" si="0"/>
        <v>4.45</v>
      </c>
      <c r="T28" s="18">
        <f t="shared" ca="1" si="2"/>
        <v>2.9342194952175791</v>
      </c>
      <c r="U28" s="18">
        <f t="shared" ca="1" si="3"/>
        <v>11.230000575714742</v>
      </c>
      <c r="V28" s="55">
        <f t="shared" ca="1" si="4"/>
        <v>0.26128400220770498</v>
      </c>
      <c r="W28">
        <f t="shared" ca="1" si="1"/>
        <v>0.40445084411288301</v>
      </c>
    </row>
    <row r="29" spans="2:23" x14ac:dyDescent="0.25">
      <c r="B29" s="1"/>
      <c r="C29" s="1"/>
      <c r="D29" s="1"/>
      <c r="R29" s="60">
        <v>0.9</v>
      </c>
      <c r="S29">
        <f t="shared" ca="1" si="0"/>
        <v>4.5</v>
      </c>
      <c r="T29" s="18">
        <f t="shared" ca="1" si="2"/>
        <v>2.8842194952175788</v>
      </c>
      <c r="U29" s="18">
        <f t="shared" ca="1" si="3"/>
        <v>11.280000575714743</v>
      </c>
      <c r="V29" s="55">
        <f t="shared" ca="1" si="4"/>
        <v>0.25569320461092476</v>
      </c>
      <c r="W29">
        <f t="shared" ca="1" si="1"/>
        <v>0.39957417552142493</v>
      </c>
    </row>
    <row r="30" spans="2:23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R30" s="60">
        <v>0.91</v>
      </c>
      <c r="S30">
        <f t="shared" ca="1" si="0"/>
        <v>4.55</v>
      </c>
      <c r="T30" s="18">
        <f t="shared" ca="1" si="2"/>
        <v>2.8342194952175785</v>
      </c>
      <c r="U30" s="18">
        <f t="shared" ca="1" si="3"/>
        <v>11.330000575714742</v>
      </c>
      <c r="V30" s="55">
        <f t="shared" ca="1" si="4"/>
        <v>0.25015175209192647</v>
      </c>
      <c r="W30">
        <f t="shared" ca="1" si="1"/>
        <v>0.39463006740579193</v>
      </c>
    </row>
    <row r="31" spans="2:23" x14ac:dyDescent="0.2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R31" s="60">
        <v>0.92</v>
      </c>
      <c r="S31">
        <f t="shared" ca="1" si="0"/>
        <v>4.6000000000000005</v>
      </c>
      <c r="T31" s="18">
        <f t="shared" ca="1" si="2"/>
        <v>2.7842194952175783</v>
      </c>
      <c r="U31" s="18">
        <f t="shared" ca="1" si="3"/>
        <v>11.380000575714742</v>
      </c>
      <c r="V31" s="55">
        <f t="shared" ca="1" si="4"/>
        <v>0.24465899423231885</v>
      </c>
      <c r="W31">
        <f t="shared" ca="1" si="1"/>
        <v>0.38961839537197757</v>
      </c>
    </row>
    <row r="32" spans="2:23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R32" s="60">
        <v>0.93</v>
      </c>
      <c r="S32">
        <f t="shared" ca="1" si="0"/>
        <v>4.6500000000000004</v>
      </c>
      <c r="T32" s="18">
        <f t="shared" ca="1" si="2"/>
        <v>2.7342194952175785</v>
      </c>
      <c r="U32" s="18">
        <f t="shared" ca="1" si="3"/>
        <v>11.430000575714743</v>
      </c>
      <c r="V32" s="55">
        <f t="shared" ca="1" si="4"/>
        <v>0.23921429199460925</v>
      </c>
      <c r="W32">
        <f t="shared" ca="1" si="1"/>
        <v>0.38453903471985657</v>
      </c>
    </row>
    <row r="33" spans="2:24" x14ac:dyDescent="0.2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R33" s="60">
        <v>0.94</v>
      </c>
      <c r="S33">
        <f t="shared" ca="1" si="0"/>
        <v>4.6999999999999993</v>
      </c>
      <c r="T33" s="18">
        <f t="shared" ca="1" si="2"/>
        <v>2.6842194952175795</v>
      </c>
      <c r="U33" s="18">
        <f t="shared" ca="1" si="3"/>
        <v>11.48000057571474</v>
      </c>
      <c r="V33" s="55">
        <f t="shared" ca="1" si="4"/>
        <v>0.23381701747436201</v>
      </c>
      <c r="W33">
        <f t="shared" ca="1" si="1"/>
        <v>0.37939186044224221</v>
      </c>
    </row>
    <row r="34" spans="2:24" x14ac:dyDescent="0.2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R34" s="60">
        <v>0.95</v>
      </c>
      <c r="S34">
        <f t="shared" ca="1" si="0"/>
        <v>4.75</v>
      </c>
      <c r="T34" s="18">
        <f t="shared" ca="1" si="2"/>
        <v>2.6342194952175788</v>
      </c>
      <c r="U34" s="18">
        <f t="shared" ca="1" si="3"/>
        <v>11.530000575714741</v>
      </c>
      <c r="V34" s="55">
        <f t="shared" ca="1" si="4"/>
        <v>0.2284665536588045</v>
      </c>
      <c r="W34">
        <f t="shared" ca="1" si="1"/>
        <v>0.37417674722394068</v>
      </c>
    </row>
    <row r="35" spans="2:24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R35" s="60">
        <v>0.96</v>
      </c>
      <c r="S35">
        <f t="shared" ca="1" si="0"/>
        <v>4.8</v>
      </c>
      <c r="T35" s="18">
        <f t="shared" ca="1" si="2"/>
        <v>2.5842194952175785</v>
      </c>
      <c r="U35" s="18">
        <f t="shared" ca="1" si="3"/>
        <v>11.580000575714742</v>
      </c>
      <c r="V35" s="55">
        <f t="shared" ca="1" si="4"/>
        <v>0.22316229419168876</v>
      </c>
      <c r="W35">
        <f t="shared" ca="1" si="1"/>
        <v>0.36889356944080254</v>
      </c>
    </row>
    <row r="36" spans="2:24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R36" s="60">
        <v>0.97</v>
      </c>
      <c r="S36">
        <f t="shared" ca="1" si="0"/>
        <v>4.8499999999999996</v>
      </c>
      <c r="T36" s="18">
        <f t="shared" ca="1" si="2"/>
        <v>2.5342194952175792</v>
      </c>
      <c r="U36" s="18">
        <f t="shared" ca="1" si="3"/>
        <v>11.630000575714741</v>
      </c>
      <c r="V36" s="55">
        <f t="shared" ca="1" si="4"/>
        <v>0.21790364314421667</v>
      </c>
      <c r="W36">
        <f t="shared" ca="1" si="1"/>
        <v>0.36354220115876906</v>
      </c>
    </row>
    <row r="37" spans="2:24" x14ac:dyDescent="0.2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R37" s="60">
        <v>0.98</v>
      </c>
      <c r="S37">
        <f t="shared" ca="1" si="0"/>
        <v>4.9000000000000004</v>
      </c>
      <c r="T37" s="18">
        <f t="shared" ca="1" si="2"/>
        <v>2.4842194952175785</v>
      </c>
      <c r="U37" s="18">
        <f t="shared" ca="1" si="3"/>
        <v>11.680000575714743</v>
      </c>
      <c r="V37" s="55">
        <f t="shared" ca="1" si="4"/>
        <v>0.21269001479184943</v>
      </c>
      <c r="W37">
        <f t="shared" ca="1" si="1"/>
        <v>0.35812251613291662</v>
      </c>
    </row>
    <row r="38" spans="2:24" x14ac:dyDescent="0.25">
      <c r="B38" s="1"/>
      <c r="C38" s="1"/>
      <c r="D38" s="56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R38" s="60">
        <v>0.99</v>
      </c>
      <c r="S38">
        <f t="shared" ca="1" si="0"/>
        <v>4.95</v>
      </c>
      <c r="T38" s="18">
        <f t="shared" ca="1" si="2"/>
        <v>2.4342194952175791</v>
      </c>
      <c r="U38" s="18">
        <f t="shared" ca="1" si="3"/>
        <v>11.730000575714742</v>
      </c>
      <c r="V38" s="55">
        <f t="shared" ca="1" si="4"/>
        <v>0.20752083339682659</v>
      </c>
      <c r="W38">
        <f t="shared" ca="1" si="1"/>
        <v>0.35263438780649653</v>
      </c>
    </row>
    <row r="39" spans="2:24" x14ac:dyDescent="0.25">
      <c r="B39" s="1"/>
      <c r="C39" s="1"/>
      <c r="D39" s="5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R39" s="60">
        <v>1</v>
      </c>
      <c r="S39">
        <f t="shared" ca="1" si="0"/>
        <v>5</v>
      </c>
      <c r="T39" s="18">
        <f t="shared" ca="1" si="2"/>
        <v>2.3842194952175788</v>
      </c>
      <c r="U39" s="18">
        <f t="shared" ca="1" si="3"/>
        <v>11.780000575714741</v>
      </c>
      <c r="V39" s="55">
        <f t="shared" ca="1" si="4"/>
        <v>0.20239553299622132</v>
      </c>
      <c r="W39">
        <f t="shared" ca="1" si="1"/>
        <v>0.3470776893099719</v>
      </c>
    </row>
    <row r="40" spans="2:24" x14ac:dyDescent="0.25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2:24" x14ac:dyDescent="0.25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2:24" x14ac:dyDescent="0.25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R42" s="1" t="s">
        <v>860</v>
      </c>
      <c r="S42" t="s">
        <v>856</v>
      </c>
      <c r="T42" t="s">
        <v>870</v>
      </c>
      <c r="U42" t="s">
        <v>863</v>
      </c>
      <c r="V42" t="s">
        <v>864</v>
      </c>
      <c r="W42" t="s">
        <v>869</v>
      </c>
    </row>
    <row r="43" spans="2:24" x14ac:dyDescent="0.25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R43" s="60">
        <v>0.7</v>
      </c>
      <c r="S43">
        <f t="shared" ref="S43:S73" ca="1" si="5">User_Used_Stroke_Length*R43</f>
        <v>3.5</v>
      </c>
      <c r="T43" s="18">
        <f ca="1">(($G$13-S43*$G$20)/$G$20)-$U$1</f>
        <v>0.83137531826306477</v>
      </c>
      <c r="U43" s="18">
        <f ca="1">($E$13+S43*$G$19)/$G$19</f>
        <v>10.280000575714741</v>
      </c>
      <c r="V43" s="55">
        <f ca="1">T43/U43</f>
        <v>8.0873080904984435E-2</v>
      </c>
      <c r="W43">
        <f t="shared" ref="W43:W73" ca="1" si="6">(T43*U43*($G$21^(1/1.4)-1))/(U43+T43*$G$21^(1/1.4))</f>
        <v>0.13687276461895001</v>
      </c>
      <c r="X43">
        <f ca="1">IF(W43&lt;0,0,W43)</f>
        <v>0.13687276461895001</v>
      </c>
    </row>
    <row r="44" spans="2:24" x14ac:dyDescent="0.25">
      <c r="B44" s="57"/>
      <c r="C44" s="1"/>
      <c r="D44" s="1"/>
      <c r="E44" s="1"/>
      <c r="F44" s="1"/>
      <c r="G44" s="1"/>
      <c r="H44" s="1"/>
      <c r="I44" s="58"/>
      <c r="J44" s="58"/>
      <c r="K44" s="58"/>
      <c r="L44" s="1"/>
      <c r="M44" s="1"/>
      <c r="N44" s="1"/>
      <c r="O44" s="1"/>
      <c r="R44" s="60">
        <v>0.71</v>
      </c>
      <c r="S44">
        <f t="shared" ca="1" si="5"/>
        <v>3.55</v>
      </c>
      <c r="T44" s="18">
        <f t="shared" ref="T44:T73" ca="1" si="7">(($G$13-S44*$G$20)/$G$20)-$U$1</f>
        <v>0.7813753182630645</v>
      </c>
      <c r="U44" s="18">
        <f t="shared" ref="U44:U73" ca="1" si="8">($E$13+S44*$G$19)/$G$19</f>
        <v>10.330000575714742</v>
      </c>
      <c r="V44" s="55">
        <f t="shared" ref="V44:V73" ca="1" si="9">T44/U44</f>
        <v>7.5641362508733503E-2</v>
      </c>
      <c r="W44">
        <f t="shared" ca="1" si="6"/>
        <v>0.12937033667190584</v>
      </c>
      <c r="X44">
        <f t="shared" ref="X44:X73" ca="1" si="10">IF(W44&lt;0,0,W44)</f>
        <v>0.12937033667190584</v>
      </c>
    </row>
    <row r="45" spans="2:24" x14ac:dyDescent="0.25">
      <c r="B45" s="57"/>
      <c r="C45" s="1"/>
      <c r="D45" s="1"/>
      <c r="E45" s="1"/>
      <c r="F45" s="1"/>
      <c r="G45" s="1"/>
      <c r="H45" s="1"/>
      <c r="I45" s="58"/>
      <c r="J45" s="58"/>
      <c r="K45" s="58"/>
      <c r="L45" s="1"/>
      <c r="M45" s="1"/>
      <c r="N45" s="1"/>
      <c r="O45" s="1"/>
      <c r="R45" s="60">
        <v>0.72</v>
      </c>
      <c r="S45">
        <f t="shared" ca="1" si="5"/>
        <v>3.5999999999999996</v>
      </c>
      <c r="T45" s="18">
        <f t="shared" ca="1" si="7"/>
        <v>0.73137531826306512</v>
      </c>
      <c r="U45" s="18">
        <f t="shared" ca="1" si="8"/>
        <v>10.380000575714741</v>
      </c>
      <c r="V45" s="55">
        <f t="shared" ca="1" si="9"/>
        <v>7.0460046021019074E-2</v>
      </c>
      <c r="W45">
        <f t="shared" ca="1" si="6"/>
        <v>0.12177567090366603</v>
      </c>
      <c r="X45">
        <f t="shared" ca="1" si="10"/>
        <v>0.12177567090366603</v>
      </c>
    </row>
    <row r="46" spans="2:24" x14ac:dyDescent="0.25">
      <c r="B46" s="57"/>
      <c r="C46" s="1"/>
      <c r="D46" s="1"/>
      <c r="E46" s="1"/>
      <c r="F46" s="1"/>
      <c r="G46" s="1"/>
      <c r="H46" s="1"/>
      <c r="I46" s="58"/>
      <c r="J46" s="58"/>
      <c r="K46" s="58"/>
      <c r="L46" s="1"/>
      <c r="M46" s="1"/>
      <c r="N46" s="1"/>
      <c r="O46" s="1"/>
      <c r="R46" s="60">
        <v>0.73</v>
      </c>
      <c r="S46">
        <f t="shared" ca="1" si="5"/>
        <v>3.65</v>
      </c>
      <c r="T46" s="18">
        <f t="shared" ca="1" si="7"/>
        <v>0.68137531826306486</v>
      </c>
      <c r="U46" s="18">
        <f t="shared" ca="1" si="8"/>
        <v>10.430000575714741</v>
      </c>
      <c r="V46" s="55">
        <f t="shared" ca="1" si="9"/>
        <v>6.5328406582218418E-2</v>
      </c>
      <c r="W46">
        <f t="shared" ca="1" si="6"/>
        <v>0.11408854520244305</v>
      </c>
      <c r="X46">
        <f t="shared" ca="1" si="10"/>
        <v>0.11408854520244305</v>
      </c>
    </row>
    <row r="47" spans="2:24" x14ac:dyDescent="0.25">
      <c r="B47" s="57"/>
      <c r="C47" s="1"/>
      <c r="D47" s="1"/>
      <c r="E47" s="1"/>
      <c r="F47" s="1"/>
      <c r="G47" s="1"/>
      <c r="H47" s="1"/>
      <c r="I47" s="58"/>
      <c r="J47" s="58"/>
      <c r="K47" s="58"/>
      <c r="L47" s="1"/>
      <c r="M47" s="1"/>
      <c r="N47" s="1"/>
      <c r="O47" s="1"/>
      <c r="R47" s="60">
        <v>0.74</v>
      </c>
      <c r="S47">
        <f t="shared" ca="1" si="5"/>
        <v>3.7</v>
      </c>
      <c r="T47" s="18">
        <f t="shared" ca="1" si="7"/>
        <v>0.63137531826306503</v>
      </c>
      <c r="U47" s="18">
        <f t="shared" ca="1" si="8"/>
        <v>10.480000575714742</v>
      </c>
      <c r="V47" s="55">
        <f t="shared" ca="1" si="9"/>
        <v>6.0245733165907284E-2</v>
      </c>
      <c r="W47">
        <f t="shared" ca="1" si="6"/>
        <v>0.10630873674274009</v>
      </c>
      <c r="X47">
        <f t="shared" ca="1" si="10"/>
        <v>0.10630873674274009</v>
      </c>
    </row>
    <row r="48" spans="2:24" x14ac:dyDescent="0.25">
      <c r="B48" s="57"/>
      <c r="C48" s="1"/>
      <c r="D48" s="1"/>
      <c r="E48" s="1"/>
      <c r="F48" s="1"/>
      <c r="G48" s="1"/>
      <c r="H48" s="1"/>
      <c r="I48" s="58"/>
      <c r="J48" s="58"/>
      <c r="K48" s="58"/>
      <c r="L48" s="1"/>
      <c r="M48" s="1"/>
      <c r="N48" s="1"/>
      <c r="O48" s="1"/>
      <c r="R48" s="60">
        <v>0.75</v>
      </c>
      <c r="S48">
        <f t="shared" ca="1" si="5"/>
        <v>3.75</v>
      </c>
      <c r="T48" s="18">
        <f t="shared" ca="1" si="7"/>
        <v>0.58137531826306477</v>
      </c>
      <c r="U48" s="18">
        <f t="shared" ca="1" si="8"/>
        <v>10.530000575714741</v>
      </c>
      <c r="V48" s="55">
        <f t="shared" ca="1" si="9"/>
        <v>5.5211328250435822E-2</v>
      </c>
      <c r="W48">
        <f t="shared" ca="1" si="6"/>
        <v>9.8436021982481178E-2</v>
      </c>
      <c r="X48">
        <f t="shared" ca="1" si="10"/>
        <v>9.8436021982481178E-2</v>
      </c>
    </row>
    <row r="49" spans="2:24" x14ac:dyDescent="0.25">
      <c r="B49" s="57"/>
      <c r="C49" s="1"/>
      <c r="D49" s="1"/>
      <c r="E49" s="1"/>
      <c r="F49" s="1"/>
      <c r="G49" s="1"/>
      <c r="H49" s="1"/>
      <c r="I49" s="58"/>
      <c r="J49" s="58"/>
      <c r="K49" s="58"/>
      <c r="L49" s="1"/>
      <c r="M49" s="1"/>
      <c r="N49" s="1"/>
      <c r="O49" s="1"/>
      <c r="R49" s="60">
        <v>0.76</v>
      </c>
      <c r="S49">
        <f t="shared" ca="1" si="5"/>
        <v>3.8</v>
      </c>
      <c r="T49" s="18">
        <f t="shared" ca="1" si="7"/>
        <v>0.5313753182630645</v>
      </c>
      <c r="U49" s="18">
        <f t="shared" ca="1" si="8"/>
        <v>10.580000575714742</v>
      </c>
      <c r="V49" s="55">
        <f t="shared" ca="1" si="9"/>
        <v>5.0224507499818064E-2</v>
      </c>
      <c r="W49">
        <f t="shared" ca="1" si="6"/>
        <v>9.0470176660128951E-2</v>
      </c>
      <c r="X49">
        <f t="shared" ca="1" si="10"/>
        <v>9.0470176660128951E-2</v>
      </c>
    </row>
    <row r="50" spans="2:24" x14ac:dyDescent="0.25">
      <c r="B50" s="57"/>
      <c r="C50" s="1"/>
      <c r="D50" s="1"/>
      <c r="E50" s="1"/>
      <c r="F50" s="1"/>
      <c r="G50" s="1"/>
      <c r="H50" s="1"/>
      <c r="I50" s="58"/>
      <c r="J50" s="58"/>
      <c r="K50" s="58"/>
      <c r="L50" s="1"/>
      <c r="M50" s="1"/>
      <c r="N50" s="1"/>
      <c r="O50" s="1"/>
      <c r="R50" s="60">
        <v>0.77</v>
      </c>
      <c r="S50">
        <f t="shared" ca="1" si="5"/>
        <v>3.85</v>
      </c>
      <c r="T50" s="18">
        <f t="shared" ca="1" si="7"/>
        <v>0.48137531826306423</v>
      </c>
      <c r="U50" s="18">
        <f t="shared" ca="1" si="8"/>
        <v>10.630000575714742</v>
      </c>
      <c r="V50" s="55">
        <f t="shared" ca="1" si="9"/>
        <v>4.5284599453626784E-2</v>
      </c>
      <c r="W50">
        <f t="shared" ca="1" si="6"/>
        <v>8.241097579178748E-2</v>
      </c>
      <c r="X50">
        <f t="shared" ca="1" si="10"/>
        <v>8.241097579178748E-2</v>
      </c>
    </row>
    <row r="51" spans="2:24" x14ac:dyDescent="0.25">
      <c r="B51" s="57"/>
      <c r="C51" s="1"/>
      <c r="D51" s="1"/>
      <c r="E51" s="1"/>
      <c r="F51" s="1"/>
      <c r="G51" s="1"/>
      <c r="H51" s="1"/>
      <c r="I51" s="58"/>
      <c r="J51" s="58"/>
      <c r="K51" s="58"/>
      <c r="L51" s="1"/>
      <c r="M51" s="1"/>
      <c r="N51" s="1"/>
      <c r="O51" s="1"/>
      <c r="R51" s="60">
        <v>0.78</v>
      </c>
      <c r="S51">
        <f t="shared" ca="1" si="5"/>
        <v>3.9000000000000004</v>
      </c>
      <c r="T51" s="18">
        <f t="shared" ca="1" si="7"/>
        <v>0.43137531826306441</v>
      </c>
      <c r="U51" s="18">
        <f t="shared" ca="1" si="8"/>
        <v>10.680000575714743</v>
      </c>
      <c r="V51" s="55">
        <f t="shared" ca="1" si="9"/>
        <v>4.0390945225599419E-2</v>
      </c>
      <c r="W51">
        <f t="shared" ca="1" si="6"/>
        <v>7.4258193668291742E-2</v>
      </c>
      <c r="X51">
        <f t="shared" ca="1" si="10"/>
        <v>7.4258193668291742E-2</v>
      </c>
    </row>
    <row r="52" spans="2:24" x14ac:dyDescent="0.25">
      <c r="B52" s="57"/>
      <c r="C52" s="1"/>
      <c r="D52" s="1"/>
      <c r="E52" s="1"/>
      <c r="F52" s="1"/>
      <c r="G52" s="1"/>
      <c r="H52" s="1"/>
      <c r="I52" s="58"/>
      <c r="J52" s="58"/>
      <c r="K52" s="58"/>
      <c r="L52" s="1"/>
      <c r="M52" s="1"/>
      <c r="N52" s="1"/>
      <c r="O52" s="1"/>
      <c r="R52" s="60">
        <v>0.79</v>
      </c>
      <c r="S52">
        <f t="shared" ca="1" si="5"/>
        <v>3.95</v>
      </c>
      <c r="T52" s="18">
        <f t="shared" ca="1" si="7"/>
        <v>0.38137531826306503</v>
      </c>
      <c r="U52" s="18">
        <f t="shared" ca="1" si="8"/>
        <v>10.730000575714742</v>
      </c>
      <c r="V52" s="55">
        <f t="shared" ca="1" si="9"/>
        <v>3.5542898210670505E-2</v>
      </c>
      <c r="W52">
        <f t="shared" ca="1" si="6"/>
        <v>6.6011603852282608E-2</v>
      </c>
      <c r="X52">
        <f t="shared" ca="1" si="10"/>
        <v>6.6011603852282608E-2</v>
      </c>
    </row>
    <row r="53" spans="2:24" x14ac:dyDescent="0.25">
      <c r="B53" s="57"/>
      <c r="C53" s="1"/>
      <c r="D53" s="1"/>
      <c r="E53" s="1"/>
      <c r="F53" s="1"/>
      <c r="G53" s="1"/>
      <c r="H53" s="1"/>
      <c r="I53" s="58"/>
      <c r="J53" s="58"/>
      <c r="K53" s="58"/>
      <c r="L53" s="1"/>
      <c r="M53" s="1"/>
      <c r="N53" s="1"/>
      <c r="O53" s="1"/>
      <c r="R53" s="60">
        <v>0.8</v>
      </c>
      <c r="S53">
        <f t="shared" ca="1" si="5"/>
        <v>4</v>
      </c>
      <c r="T53" s="18">
        <f t="shared" ca="1" si="7"/>
        <v>0.33137531826306477</v>
      </c>
      <c r="U53" s="18">
        <f t="shared" ca="1" si="8"/>
        <v>10.780000575714743</v>
      </c>
      <c r="V53" s="55">
        <f t="shared" ca="1" si="9"/>
        <v>3.0739823800157239E-2</v>
      </c>
      <c r="W53">
        <f t="shared" ca="1" si="6"/>
        <v>5.7670979175267562E-2</v>
      </c>
      <c r="X53">
        <f t="shared" ca="1" si="10"/>
        <v>5.7670979175267562E-2</v>
      </c>
    </row>
    <row r="54" spans="2:24" x14ac:dyDescent="0.25">
      <c r="B54" s="57"/>
      <c r="C54" s="1"/>
      <c r="D54" s="1"/>
      <c r="E54" s="1"/>
      <c r="F54" s="1"/>
      <c r="G54" s="1"/>
      <c r="H54" s="1"/>
      <c r="I54" s="58"/>
      <c r="J54" s="58"/>
      <c r="K54" s="58"/>
      <c r="L54" s="1"/>
      <c r="M54" s="1"/>
      <c r="N54" s="1"/>
      <c r="O54" s="1"/>
      <c r="R54" s="60">
        <v>0.81</v>
      </c>
      <c r="S54">
        <f t="shared" ca="1" si="5"/>
        <v>4.0500000000000007</v>
      </c>
      <c r="T54" s="18">
        <f t="shared" ca="1" si="7"/>
        <v>0.28137531826306406</v>
      </c>
      <c r="U54" s="18">
        <f t="shared" ca="1" si="8"/>
        <v>10.830000575714744</v>
      </c>
      <c r="V54" s="55">
        <f t="shared" ca="1" si="9"/>
        <v>2.5981099104834926E-2</v>
      </c>
      <c r="W54">
        <f t="shared" ca="1" si="6"/>
        <v>4.9236091734667913E-2</v>
      </c>
      <c r="X54">
        <f t="shared" ca="1" si="10"/>
        <v>4.9236091734667913E-2</v>
      </c>
    </row>
    <row r="55" spans="2:24" x14ac:dyDescent="0.25">
      <c r="B55" s="57"/>
      <c r="C55" s="1"/>
      <c r="D55" s="1"/>
      <c r="E55" s="1"/>
      <c r="F55" s="1"/>
      <c r="G55" s="1"/>
      <c r="H55" s="1"/>
      <c r="I55" s="58"/>
      <c r="J55" s="58"/>
      <c r="K55" s="58"/>
      <c r="L55" s="1"/>
      <c r="M55" s="1"/>
      <c r="N55" s="1"/>
      <c r="O55" s="1"/>
      <c r="R55" s="60">
        <v>0.82</v>
      </c>
      <c r="S55">
        <f t="shared" ca="1" si="5"/>
        <v>4.0999999999999996</v>
      </c>
      <c r="T55" s="18">
        <f t="shared" ca="1" si="7"/>
        <v>0.23137531826306512</v>
      </c>
      <c r="U55" s="18">
        <f t="shared" ca="1" si="8"/>
        <v>10.880000575714741</v>
      </c>
      <c r="V55" s="55">
        <f t="shared" ca="1" si="9"/>
        <v>2.1266112685648032E-2</v>
      </c>
      <c r="W55">
        <f t="shared" ca="1" si="6"/>
        <v>4.0706712890851336E-2</v>
      </c>
      <c r="X55">
        <f t="shared" ca="1" si="10"/>
        <v>4.0706712890851336E-2</v>
      </c>
    </row>
    <row r="56" spans="2:24" x14ac:dyDescent="0.25">
      <c r="B56" s="57"/>
      <c r="C56" s="1"/>
      <c r="D56" s="1"/>
      <c r="E56" s="1"/>
      <c r="F56" s="1"/>
      <c r="G56" s="1"/>
      <c r="H56" s="1"/>
      <c r="I56" s="58"/>
      <c r="J56" s="58"/>
      <c r="K56" s="58"/>
      <c r="L56" s="1"/>
      <c r="M56" s="1"/>
      <c r="N56" s="1"/>
      <c r="O56" s="1"/>
      <c r="R56" s="60">
        <v>0.83</v>
      </c>
      <c r="S56">
        <f t="shared" ca="1" si="5"/>
        <v>4.1499999999999995</v>
      </c>
      <c r="T56" s="18">
        <f t="shared" ca="1" si="7"/>
        <v>0.18137531826306486</v>
      </c>
      <c r="U56" s="18">
        <f t="shared" ca="1" si="8"/>
        <v>10.930000575714741</v>
      </c>
      <c r="V56" s="55">
        <f t="shared" ca="1" si="9"/>
        <v>1.6594264291811735E-2</v>
      </c>
      <c r="W56">
        <f t="shared" ca="1" si="6"/>
        <v>3.2082613264148512E-2</v>
      </c>
      <c r="X56">
        <f t="shared" ca="1" si="10"/>
        <v>3.2082613264148512E-2</v>
      </c>
    </row>
    <row r="57" spans="2:24" x14ac:dyDescent="0.25">
      <c r="B57" s="57"/>
      <c r="C57" s="1"/>
      <c r="D57" s="1"/>
      <c r="E57" s="1"/>
      <c r="F57" s="1"/>
      <c r="G57" s="1"/>
      <c r="H57" s="1"/>
      <c r="I57" s="58"/>
      <c r="J57" s="58"/>
      <c r="K57" s="58"/>
      <c r="L57" s="1"/>
      <c r="M57" s="1"/>
      <c r="N57" s="1"/>
      <c r="O57" s="1"/>
      <c r="R57" s="60">
        <v>0.84</v>
      </c>
      <c r="S57">
        <f t="shared" ca="1" si="5"/>
        <v>4.2</v>
      </c>
      <c r="T57" s="18">
        <f t="shared" ca="1" si="7"/>
        <v>0.13137531826306503</v>
      </c>
      <c r="U57" s="18">
        <f t="shared" ca="1" si="8"/>
        <v>10.980000575714742</v>
      </c>
      <c r="V57" s="55">
        <f t="shared" ca="1" si="9"/>
        <v>1.1964964606070903E-2</v>
      </c>
      <c r="W57">
        <f t="shared" ca="1" si="6"/>
        <v>2.3363562731858408E-2</v>
      </c>
      <c r="X57">
        <f t="shared" ca="1" si="10"/>
        <v>2.3363562731858408E-2</v>
      </c>
    </row>
    <row r="58" spans="2:24" x14ac:dyDescent="0.25">
      <c r="B58" s="57"/>
      <c r="C58" s="1"/>
      <c r="D58" s="1"/>
      <c r="E58" s="1"/>
      <c r="F58" s="1"/>
      <c r="G58" s="1"/>
      <c r="H58" s="1"/>
      <c r="I58" s="58"/>
      <c r="J58" s="58"/>
      <c r="K58" s="58"/>
      <c r="L58" s="1"/>
      <c r="M58" s="1"/>
      <c r="N58" s="1"/>
      <c r="O58" s="1"/>
      <c r="R58" s="60">
        <v>0.85</v>
      </c>
      <c r="S58">
        <f t="shared" ca="1" si="5"/>
        <v>4.25</v>
      </c>
      <c r="T58" s="18">
        <f t="shared" ca="1" si="7"/>
        <v>8.1375318263064766E-2</v>
      </c>
      <c r="U58" s="18">
        <f t="shared" ca="1" si="8"/>
        <v>11.030000575714741</v>
      </c>
      <c r="V58" s="55">
        <f t="shared" ca="1" si="9"/>
        <v>7.3776349968859064E-3</v>
      </c>
      <c r="W58">
        <f t="shared" ca="1" si="6"/>
        <v>1.4549330425235901E-2</v>
      </c>
      <c r="X58">
        <f t="shared" ca="1" si="10"/>
        <v>1.4549330425235901E-2</v>
      </c>
    </row>
    <row r="59" spans="2:24" x14ac:dyDescent="0.25">
      <c r="B59" s="57"/>
      <c r="C59" s="1"/>
      <c r="D59" s="1"/>
      <c r="E59" s="1"/>
      <c r="F59" s="1"/>
      <c r="G59" s="1"/>
      <c r="H59" s="1"/>
      <c r="I59" s="58"/>
      <c r="J59" s="58"/>
      <c r="K59" s="58"/>
      <c r="L59" s="1"/>
      <c r="M59" s="1"/>
      <c r="N59" s="1"/>
      <c r="O59" s="1"/>
      <c r="R59" s="60">
        <v>0.86</v>
      </c>
      <c r="S59">
        <f t="shared" ca="1" si="5"/>
        <v>4.3</v>
      </c>
      <c r="T59" s="18">
        <f t="shared" ca="1" si="7"/>
        <v>3.13753182630645E-2</v>
      </c>
      <c r="U59" s="18">
        <f t="shared" ca="1" si="8"/>
        <v>11.080000575714742</v>
      </c>
      <c r="V59" s="55">
        <f t="shared" ca="1" si="9"/>
        <v>2.8317072773293211E-3</v>
      </c>
      <c r="W59">
        <f t="shared" ca="1" si="6"/>
        <v>5.6396847264667182E-3</v>
      </c>
      <c r="X59">
        <f t="shared" ca="1" si="10"/>
        <v>5.6396847264667182E-3</v>
      </c>
    </row>
    <row r="60" spans="2:24" x14ac:dyDescent="0.25">
      <c r="B60" s="57"/>
      <c r="C60" s="1"/>
      <c r="D60" s="1"/>
      <c r="E60" s="1"/>
      <c r="F60" s="1"/>
      <c r="G60" s="1"/>
      <c r="H60" s="1"/>
      <c r="I60" s="58"/>
      <c r="J60" s="58"/>
      <c r="K60" s="58"/>
      <c r="L60" s="1"/>
      <c r="M60" s="1"/>
      <c r="N60" s="1"/>
      <c r="O60" s="1"/>
      <c r="R60" s="60">
        <v>0.87</v>
      </c>
      <c r="S60">
        <f t="shared" ca="1" si="5"/>
        <v>4.3499999999999996</v>
      </c>
      <c r="T60" s="18">
        <f t="shared" ca="1" si="7"/>
        <v>-1.8624681736934878E-2</v>
      </c>
      <c r="U60" s="18">
        <f t="shared" ca="1" si="8"/>
        <v>11.130000575714741</v>
      </c>
      <c r="V60" s="55">
        <f t="shared" ca="1" si="9"/>
        <v>-1.6733765295190784E-3</v>
      </c>
      <c r="W60">
        <f t="shared" ca="1" si="6"/>
        <v>-3.3656067343731748E-3</v>
      </c>
      <c r="X60">
        <f t="shared" ca="1" si="10"/>
        <v>0</v>
      </c>
    </row>
    <row r="61" spans="2:24" x14ac:dyDescent="0.25">
      <c r="B61" s="57"/>
      <c r="C61" s="1"/>
      <c r="D61" s="1"/>
      <c r="E61" s="1"/>
      <c r="F61" s="1"/>
      <c r="G61" s="1"/>
      <c r="H61" s="1"/>
      <c r="I61" s="58"/>
      <c r="J61" s="58"/>
      <c r="K61" s="58"/>
      <c r="L61" s="1"/>
      <c r="M61" s="1"/>
      <c r="N61" s="1"/>
      <c r="O61" s="1"/>
      <c r="R61" s="60">
        <v>0.88</v>
      </c>
      <c r="S61">
        <f t="shared" ca="1" si="5"/>
        <v>4.4000000000000004</v>
      </c>
      <c r="T61" s="18">
        <f t="shared" ca="1" si="7"/>
        <v>-6.8624681736935589E-2</v>
      </c>
      <c r="U61" s="18">
        <f t="shared" ca="1" si="8"/>
        <v>11.180000575714741</v>
      </c>
      <c r="V61" s="55">
        <f t="shared" ca="1" si="9"/>
        <v>-6.1381644188822759E-3</v>
      </c>
      <c r="W61">
        <f t="shared" ca="1" si="6"/>
        <v>-1.2466777082373518E-2</v>
      </c>
      <c r="X61">
        <f t="shared" ca="1" si="10"/>
        <v>0</v>
      </c>
    </row>
    <row r="62" spans="2:24" x14ac:dyDescent="0.25">
      <c r="B62" s="57"/>
      <c r="C62" s="1"/>
      <c r="D62" s="1"/>
      <c r="E62" s="1"/>
      <c r="F62" s="1"/>
      <c r="G62" s="1"/>
      <c r="H62" s="1"/>
      <c r="I62" s="58"/>
      <c r="J62" s="58"/>
      <c r="K62" s="58"/>
      <c r="L62" s="1"/>
      <c r="M62" s="1"/>
      <c r="N62" s="1"/>
      <c r="O62" s="1"/>
      <c r="R62" s="60">
        <v>0.89</v>
      </c>
      <c r="S62">
        <f t="shared" ca="1" si="5"/>
        <v>4.45</v>
      </c>
      <c r="T62" s="18">
        <f t="shared" ca="1" si="7"/>
        <v>-0.11862468173693497</v>
      </c>
      <c r="U62" s="18">
        <f t="shared" ca="1" si="8"/>
        <v>11.230000575714742</v>
      </c>
      <c r="V62" s="55">
        <f t="shared" ca="1" si="9"/>
        <v>-1.0563194626495824E-2</v>
      </c>
      <c r="W62">
        <f t="shared" ca="1" si="6"/>
        <v>-2.166406020085852E-2</v>
      </c>
      <c r="X62">
        <f t="shared" ca="1" si="10"/>
        <v>0</v>
      </c>
    </row>
    <row r="63" spans="2:24" x14ac:dyDescent="0.25">
      <c r="B63" s="57"/>
      <c r="C63" s="1"/>
      <c r="D63" s="1"/>
      <c r="E63" s="1"/>
      <c r="F63" s="1"/>
      <c r="G63" s="1"/>
      <c r="H63" s="1"/>
      <c r="I63" s="58"/>
      <c r="J63" s="58"/>
      <c r="K63" s="58"/>
      <c r="L63" s="1"/>
      <c r="M63" s="1"/>
      <c r="N63" s="1"/>
      <c r="O63" s="1"/>
      <c r="R63" s="60">
        <v>0.9</v>
      </c>
      <c r="S63">
        <f t="shared" ca="1" si="5"/>
        <v>4.5</v>
      </c>
      <c r="T63" s="18">
        <f t="shared" ca="1" si="7"/>
        <v>-0.16862468173693523</v>
      </c>
      <c r="U63" s="18">
        <f t="shared" ca="1" si="8"/>
        <v>11.280000575714743</v>
      </c>
      <c r="V63" s="55">
        <f t="shared" ca="1" si="9"/>
        <v>-1.4948995844909392E-2</v>
      </c>
      <c r="W63">
        <f t="shared" ca="1" si="6"/>
        <v>-3.0957690734473815E-2</v>
      </c>
      <c r="X63">
        <f t="shared" ca="1" si="10"/>
        <v>0</v>
      </c>
    </row>
    <row r="64" spans="2:24" x14ac:dyDescent="0.25">
      <c r="B64" s="57"/>
      <c r="C64" s="1"/>
      <c r="D64" s="1"/>
      <c r="E64" s="1"/>
      <c r="F64" s="1"/>
      <c r="G64" s="1"/>
      <c r="H64" s="1"/>
      <c r="I64" s="58"/>
      <c r="J64" s="58"/>
      <c r="K64" s="58"/>
      <c r="L64" s="1"/>
      <c r="M64" s="1"/>
      <c r="N64" s="1"/>
      <c r="O64" s="1"/>
      <c r="R64" s="60">
        <v>0.91</v>
      </c>
      <c r="S64">
        <f t="shared" ca="1" si="5"/>
        <v>4.55</v>
      </c>
      <c r="T64" s="18">
        <f t="shared" ca="1" si="7"/>
        <v>-0.2186246817369355</v>
      </c>
      <c r="U64" s="18">
        <f t="shared" ca="1" si="8"/>
        <v>11.330000575714742</v>
      </c>
      <c r="V64" s="55">
        <f t="shared" ca="1" si="9"/>
        <v>-1.9296087434059445E-2</v>
      </c>
      <c r="W64">
        <f t="shared" ca="1" si="6"/>
        <v>-4.0347904092285274E-2</v>
      </c>
      <c r="X64">
        <f t="shared" ca="1" si="10"/>
        <v>0</v>
      </c>
    </row>
    <row r="65" spans="2:24" x14ac:dyDescent="0.25">
      <c r="B65" s="57"/>
      <c r="C65" s="1"/>
      <c r="D65" s="1"/>
      <c r="E65" s="1"/>
      <c r="F65" s="1"/>
      <c r="G65" s="1"/>
      <c r="H65" s="1"/>
      <c r="I65" s="58"/>
      <c r="J65" s="58"/>
      <c r="K65" s="58"/>
      <c r="L65" s="1"/>
      <c r="M65" s="1"/>
      <c r="N65" s="1"/>
      <c r="O65" s="1"/>
      <c r="R65" s="60">
        <v>0.92</v>
      </c>
      <c r="S65">
        <f t="shared" ca="1" si="5"/>
        <v>4.6000000000000005</v>
      </c>
      <c r="T65" s="18">
        <f t="shared" ca="1" si="7"/>
        <v>-0.26862468173693577</v>
      </c>
      <c r="U65" s="18">
        <f t="shared" ca="1" si="8"/>
        <v>11.380000575714742</v>
      </c>
      <c r="V65" s="55">
        <f t="shared" ca="1" si="9"/>
        <v>-2.3604979626291829E-2</v>
      </c>
      <c r="W65">
        <f t="shared" ca="1" si="6"/>
        <v>-4.9834936450895179E-2</v>
      </c>
      <c r="X65">
        <f t="shared" ca="1" si="10"/>
        <v>0</v>
      </c>
    </row>
    <row r="66" spans="2:24" x14ac:dyDescent="0.25">
      <c r="B66" s="57"/>
      <c r="C66" s="1"/>
      <c r="D66" s="1"/>
      <c r="E66" s="1"/>
      <c r="F66" s="1"/>
      <c r="G66" s="1"/>
      <c r="H66" s="1"/>
      <c r="I66" s="58"/>
      <c r="J66" s="58"/>
      <c r="K66" s="58"/>
      <c r="L66" s="1"/>
      <c r="M66" s="1"/>
      <c r="N66" s="1"/>
      <c r="O66" s="1"/>
      <c r="R66" s="60">
        <v>0.93</v>
      </c>
      <c r="S66">
        <f t="shared" ca="1" si="5"/>
        <v>4.6500000000000004</v>
      </c>
      <c r="T66" s="18">
        <f t="shared" ca="1" si="7"/>
        <v>-0.31862468173693559</v>
      </c>
      <c r="U66" s="18">
        <f t="shared" ca="1" si="8"/>
        <v>11.430000575714743</v>
      </c>
      <c r="V66" s="55">
        <f t="shared" ca="1" si="9"/>
        <v>-2.7876173726002748E-2</v>
      </c>
      <c r="W66">
        <f t="shared" ca="1" si="6"/>
        <v>-5.9419024757572644E-2</v>
      </c>
      <c r="X66">
        <f t="shared" ca="1" si="10"/>
        <v>0</v>
      </c>
    </row>
    <row r="67" spans="2:24" x14ac:dyDescent="0.25">
      <c r="B67" s="57"/>
      <c r="C67" s="1"/>
      <c r="D67" s="1"/>
      <c r="E67" s="1"/>
      <c r="F67" s="1"/>
      <c r="G67" s="1"/>
      <c r="H67" s="1"/>
      <c r="I67" s="58"/>
      <c r="J67" s="58"/>
      <c r="K67" s="58"/>
      <c r="L67" s="1"/>
      <c r="M67" s="1"/>
      <c r="N67" s="1"/>
      <c r="O67" s="1"/>
      <c r="R67" s="60">
        <v>0.94</v>
      </c>
      <c r="S67">
        <f t="shared" ca="1" si="5"/>
        <v>4.6999999999999993</v>
      </c>
      <c r="T67" s="18">
        <f t="shared" ca="1" si="7"/>
        <v>-0.36862468173693452</v>
      </c>
      <c r="U67" s="18">
        <f t="shared" ca="1" si="8"/>
        <v>11.48000057571474</v>
      </c>
      <c r="V67" s="55">
        <f t="shared" ca="1" si="9"/>
        <v>-3.2110162304062786E-2</v>
      </c>
      <c r="W67">
        <f t="shared" ca="1" si="6"/>
        <v>-6.9100406733399719E-2</v>
      </c>
      <c r="X67">
        <f t="shared" ca="1" si="10"/>
        <v>0</v>
      </c>
    </row>
    <row r="68" spans="2:24" x14ac:dyDescent="0.25">
      <c r="B68" s="57"/>
      <c r="C68" s="1"/>
      <c r="D68" s="1"/>
      <c r="E68" s="1"/>
      <c r="F68" s="1"/>
      <c r="G68" s="1"/>
      <c r="H68" s="1"/>
      <c r="I68" s="58"/>
      <c r="J68" s="58"/>
      <c r="K68" s="58"/>
      <c r="L68" s="1"/>
      <c r="M68" s="1"/>
      <c r="N68" s="1"/>
      <c r="O68" s="1"/>
      <c r="R68" s="60">
        <v>0.95</v>
      </c>
      <c r="S68">
        <f t="shared" ca="1" si="5"/>
        <v>4.75</v>
      </c>
      <c r="T68" s="18">
        <f t="shared" ca="1" si="7"/>
        <v>-0.41862468173693523</v>
      </c>
      <c r="U68" s="18">
        <f t="shared" ca="1" si="8"/>
        <v>11.530000575714741</v>
      </c>
      <c r="V68" s="55">
        <f t="shared" ca="1" si="9"/>
        <v>-3.6307429387182386E-2</v>
      </c>
      <c r="W68">
        <f t="shared" ca="1" si="6"/>
        <v>-7.8879320876433442E-2</v>
      </c>
      <c r="X68">
        <f t="shared" ca="1" si="10"/>
        <v>0</v>
      </c>
    </row>
    <row r="69" spans="2:24" x14ac:dyDescent="0.25">
      <c r="B69" s="57"/>
      <c r="C69" s="1"/>
      <c r="D69" s="1"/>
      <c r="E69" s="1"/>
      <c r="F69" s="1"/>
      <c r="G69" s="1"/>
      <c r="H69" s="1"/>
      <c r="I69" s="58"/>
      <c r="J69" s="58"/>
      <c r="K69" s="58"/>
      <c r="L69" s="1"/>
      <c r="M69" s="1"/>
      <c r="N69" s="1"/>
      <c r="O69" s="1"/>
      <c r="R69" s="60">
        <v>0.96</v>
      </c>
      <c r="S69">
        <f t="shared" ca="1" si="5"/>
        <v>4.8</v>
      </c>
      <c r="T69" s="18">
        <f t="shared" ca="1" si="7"/>
        <v>-0.4686246817369355</v>
      </c>
      <c r="U69" s="18">
        <f t="shared" ca="1" si="8"/>
        <v>11.580000575714742</v>
      </c>
      <c r="V69" s="55">
        <f t="shared" ca="1" si="9"/>
        <v>-4.0468450642370632E-2</v>
      </c>
      <c r="W69">
        <f t="shared" ca="1" si="6"/>
        <v>-8.8756006464881229E-2</v>
      </c>
      <c r="X69">
        <f t="shared" ca="1" si="10"/>
        <v>0</v>
      </c>
    </row>
    <row r="70" spans="2:24" x14ac:dyDescent="0.25">
      <c r="B70" s="57"/>
      <c r="C70" s="1"/>
      <c r="D70" s="1"/>
      <c r="E70" s="1"/>
      <c r="F70" s="1"/>
      <c r="G70" s="1"/>
      <c r="H70" s="1"/>
      <c r="I70" s="58"/>
      <c r="J70" s="58"/>
      <c r="K70" s="58"/>
      <c r="L70" s="1"/>
      <c r="M70" s="1"/>
      <c r="N70" s="1"/>
      <c r="O70" s="1"/>
      <c r="R70" s="60">
        <v>0.97</v>
      </c>
      <c r="S70">
        <f t="shared" ca="1" si="5"/>
        <v>4.8499999999999996</v>
      </c>
      <c r="T70" s="18">
        <f t="shared" ca="1" si="7"/>
        <v>-0.51862468173693488</v>
      </c>
      <c r="U70" s="18">
        <f t="shared" ca="1" si="8"/>
        <v>11.630000575714741</v>
      </c>
      <c r="V70" s="55">
        <f t="shared" ca="1" si="9"/>
        <v>-4.459369355663699E-2</v>
      </c>
      <c r="W70">
        <f t="shared" ca="1" si="6"/>
        <v>-9.8730703560294689E-2</v>
      </c>
      <c r="X70">
        <f t="shared" ca="1" si="10"/>
        <v>0</v>
      </c>
    </row>
    <row r="71" spans="2:24" x14ac:dyDescent="0.25">
      <c r="B71" s="57"/>
      <c r="C71" s="1"/>
      <c r="D71" s="1"/>
      <c r="E71" s="1"/>
      <c r="F71" s="1"/>
      <c r="G71" s="1"/>
      <c r="H71" s="1"/>
      <c r="I71" s="58"/>
      <c r="J71" s="58"/>
      <c r="K71" s="58"/>
      <c r="L71" s="1"/>
      <c r="M71" s="1"/>
      <c r="N71" s="1"/>
      <c r="O71" s="1"/>
      <c r="R71" s="60">
        <v>0.98</v>
      </c>
      <c r="S71">
        <f t="shared" ca="1" si="5"/>
        <v>4.9000000000000004</v>
      </c>
      <c r="T71" s="18">
        <f t="shared" ca="1" si="7"/>
        <v>-0.56862468173693559</v>
      </c>
      <c r="U71" s="18">
        <f t="shared" ca="1" si="8"/>
        <v>11.680000575714743</v>
      </c>
      <c r="V71" s="55">
        <f t="shared" ca="1" si="9"/>
        <v>-4.8683617612076985E-2</v>
      </c>
      <c r="W71">
        <f t="shared" ca="1" si="6"/>
        <v>-0.10880365301077818</v>
      </c>
      <c r="X71">
        <f t="shared" ca="1" si="10"/>
        <v>0</v>
      </c>
    </row>
    <row r="72" spans="2:24" x14ac:dyDescent="0.25">
      <c r="B72" s="57"/>
      <c r="C72" s="1"/>
      <c r="D72" s="1"/>
      <c r="E72" s="1"/>
      <c r="F72" s="1"/>
      <c r="G72" s="1"/>
      <c r="H72" s="1"/>
      <c r="I72" s="58"/>
      <c r="J72" s="58"/>
      <c r="K72" s="58"/>
      <c r="L72" s="1"/>
      <c r="M72" s="1"/>
      <c r="N72" s="1"/>
      <c r="O72" s="1"/>
      <c r="R72" s="60">
        <v>0.99</v>
      </c>
      <c r="S72">
        <f t="shared" ca="1" si="5"/>
        <v>4.95</v>
      </c>
      <c r="T72" s="18">
        <f t="shared" ca="1" si="7"/>
        <v>-0.61862468173693497</v>
      </c>
      <c r="U72" s="18">
        <f t="shared" ca="1" si="8"/>
        <v>11.730000575714742</v>
      </c>
      <c r="V72" s="55">
        <f t="shared" ca="1" si="9"/>
        <v>-5.2738674456479333E-2</v>
      </c>
      <c r="W72">
        <f t="shared" ca="1" si="6"/>
        <v>-0.11897509645421116</v>
      </c>
      <c r="X72">
        <f t="shared" ca="1" si="10"/>
        <v>0</v>
      </c>
    </row>
    <row r="73" spans="2:24" x14ac:dyDescent="0.25">
      <c r="B73" s="57"/>
      <c r="C73" s="1"/>
      <c r="D73" s="1"/>
      <c r="E73" s="1"/>
      <c r="F73" s="1"/>
      <c r="G73" s="1"/>
      <c r="H73" s="1"/>
      <c r="I73" s="58"/>
      <c r="J73" s="58"/>
      <c r="K73" s="58"/>
      <c r="L73" s="1"/>
      <c r="M73" s="1"/>
      <c r="N73" s="1"/>
      <c r="O73" s="1"/>
      <c r="R73" s="60">
        <v>1</v>
      </c>
      <c r="S73">
        <f t="shared" ca="1" si="5"/>
        <v>5</v>
      </c>
      <c r="T73" s="18">
        <f t="shared" ca="1" si="7"/>
        <v>-0.66862468173693523</v>
      </c>
      <c r="U73" s="18">
        <f t="shared" ca="1" si="8"/>
        <v>11.780000575714741</v>
      </c>
      <c r="V73" s="55">
        <f t="shared" ca="1" si="9"/>
        <v>-5.6759308069589551E-2</v>
      </c>
      <c r="W73">
        <f t="shared" ca="1" si="6"/>
        <v>-0.1292452763214901</v>
      </c>
      <c r="X73">
        <f t="shared" ca="1" si="10"/>
        <v>0</v>
      </c>
    </row>
    <row r="74" spans="2:24" x14ac:dyDescent="0.25">
      <c r="B74" s="57"/>
      <c r="C74" s="1"/>
      <c r="D74" s="1"/>
      <c r="E74" s="1"/>
      <c r="F74" s="1"/>
      <c r="G74" s="1"/>
      <c r="H74" s="1"/>
      <c r="I74" s="58"/>
      <c r="J74" s="58"/>
      <c r="K74" s="58"/>
      <c r="L74" s="1"/>
      <c r="M74" s="1"/>
      <c r="N74" s="1"/>
      <c r="O74" s="1"/>
    </row>
    <row r="75" spans="2:24" x14ac:dyDescent="0.25">
      <c r="B75" s="57"/>
      <c r="C75" s="1"/>
      <c r="D75" s="1"/>
      <c r="E75" s="1"/>
      <c r="F75" s="1"/>
      <c r="G75" s="1"/>
      <c r="H75" s="1"/>
      <c r="I75" s="58"/>
      <c r="J75" s="58"/>
      <c r="K75" s="58"/>
      <c r="L75" s="1"/>
      <c r="M75" s="1"/>
      <c r="N75" s="1"/>
      <c r="O75" s="1"/>
      <c r="R75" s="1"/>
    </row>
    <row r="76" spans="2:24" x14ac:dyDescent="0.25">
      <c r="B76" s="57"/>
      <c r="C76" s="1"/>
      <c r="D76" s="1"/>
      <c r="E76" s="1"/>
      <c r="F76" s="1"/>
      <c r="G76" s="1"/>
      <c r="H76" s="1"/>
      <c r="I76" s="58"/>
      <c r="J76" s="58"/>
      <c r="K76" s="58"/>
      <c r="L76" s="1"/>
      <c r="M76" s="1"/>
      <c r="N76" s="1"/>
      <c r="O76" s="1"/>
      <c r="R76" s="19"/>
      <c r="T76" s="18"/>
      <c r="U76" s="18"/>
      <c r="V76" s="55"/>
    </row>
    <row r="77" spans="2:24" x14ac:dyDescent="0.25">
      <c r="B77" s="57"/>
      <c r="C77" s="1"/>
      <c r="D77" s="1"/>
      <c r="E77" s="1"/>
      <c r="F77" s="1"/>
      <c r="G77" s="1"/>
      <c r="H77" s="1"/>
      <c r="I77" s="58"/>
      <c r="J77" s="58"/>
      <c r="K77" s="58"/>
      <c r="L77" s="1"/>
      <c r="M77" s="1"/>
      <c r="N77" s="1"/>
      <c r="O77" s="1"/>
      <c r="R77" s="19"/>
      <c r="T77" s="18"/>
      <c r="U77" s="18"/>
      <c r="V77" s="55"/>
    </row>
    <row r="78" spans="2:24" x14ac:dyDescent="0.25">
      <c r="B78" s="57"/>
      <c r="C78" s="1"/>
      <c r="D78" s="1"/>
      <c r="E78" s="1"/>
      <c r="F78" s="1"/>
      <c r="G78" s="1"/>
      <c r="H78" s="1"/>
      <c r="I78" s="58"/>
      <c r="J78" s="58"/>
      <c r="K78" s="58"/>
      <c r="L78" s="1"/>
      <c r="M78" s="1"/>
      <c r="N78" s="1"/>
      <c r="O78" s="1"/>
      <c r="R78" s="19"/>
      <c r="T78" s="18"/>
      <c r="U78" s="18"/>
      <c r="V78" s="55"/>
    </row>
    <row r="79" spans="2:24" x14ac:dyDescent="0.25">
      <c r="B79" s="57"/>
      <c r="C79" s="1"/>
      <c r="D79" s="1"/>
      <c r="E79" s="1"/>
      <c r="F79" s="1"/>
      <c r="G79" s="1"/>
      <c r="H79" s="1"/>
      <c r="I79" s="58"/>
      <c r="J79" s="58"/>
      <c r="K79" s="58"/>
      <c r="L79" s="1"/>
      <c r="M79" s="1"/>
      <c r="N79" s="1"/>
      <c r="O79" s="1"/>
      <c r="R79" s="19"/>
      <c r="T79" s="18"/>
      <c r="U79" s="18"/>
      <c r="V79" s="55"/>
    </row>
    <row r="80" spans="2:24" x14ac:dyDescent="0.25">
      <c r="B80" s="57"/>
      <c r="C80" s="1"/>
      <c r="D80" s="1"/>
      <c r="E80" s="1"/>
      <c r="F80" s="1"/>
      <c r="G80" s="1"/>
      <c r="H80" s="1"/>
      <c r="I80" s="58"/>
      <c r="J80" s="58"/>
      <c r="K80" s="58"/>
      <c r="L80" s="1"/>
      <c r="M80" s="1"/>
      <c r="N80" s="1"/>
      <c r="O80" s="1"/>
      <c r="R80" s="19"/>
      <c r="T80" s="18"/>
      <c r="U80" s="18"/>
      <c r="V80" s="55"/>
    </row>
    <row r="81" spans="2:22" x14ac:dyDescent="0.25">
      <c r="B81" s="57"/>
      <c r="C81" s="1"/>
      <c r="D81" s="1"/>
      <c r="E81" s="1"/>
      <c r="F81" s="1"/>
      <c r="G81" s="1"/>
      <c r="H81" s="1"/>
      <c r="I81" s="58"/>
      <c r="J81" s="58"/>
      <c r="K81" s="58"/>
      <c r="L81" s="1"/>
      <c r="M81" s="1"/>
      <c r="N81" s="1"/>
      <c r="O81" s="1"/>
      <c r="R81" s="19"/>
      <c r="T81" s="18"/>
      <c r="U81" s="18"/>
      <c r="V81" s="55"/>
    </row>
    <row r="82" spans="2:22" x14ac:dyDescent="0.25">
      <c r="B82" s="57"/>
      <c r="C82" s="1"/>
      <c r="D82" s="1"/>
      <c r="E82" s="1"/>
      <c r="F82" s="1"/>
      <c r="G82" s="1"/>
      <c r="H82" s="1"/>
      <c r="I82" s="58"/>
      <c r="J82" s="58"/>
      <c r="K82" s="58"/>
      <c r="L82" s="1"/>
      <c r="M82" s="1"/>
      <c r="N82" s="1"/>
      <c r="O82" s="1"/>
      <c r="R82" s="19"/>
      <c r="T82" s="18"/>
      <c r="U82" s="18"/>
      <c r="V82" s="55"/>
    </row>
    <row r="83" spans="2:22" x14ac:dyDescent="0.25">
      <c r="B83" s="57"/>
      <c r="C83" s="1"/>
      <c r="D83" s="1"/>
      <c r="E83" s="1"/>
      <c r="F83" s="1"/>
      <c r="G83" s="1"/>
      <c r="H83" s="1"/>
      <c r="I83" s="58"/>
      <c r="J83" s="58"/>
      <c r="K83" s="58"/>
      <c r="L83" s="1"/>
      <c r="M83" s="1"/>
      <c r="N83" s="1"/>
      <c r="O83" s="1"/>
      <c r="R83" s="19"/>
      <c r="T83" s="18"/>
      <c r="U83" s="18"/>
      <c r="V83" s="55"/>
    </row>
    <row r="84" spans="2:22" x14ac:dyDescent="0.25">
      <c r="B84" s="57"/>
      <c r="C84" s="1"/>
      <c r="D84" s="1"/>
      <c r="E84" s="1"/>
      <c r="F84" s="1"/>
      <c r="G84" s="1"/>
      <c r="H84" s="1"/>
      <c r="I84" s="58"/>
      <c r="J84" s="58"/>
      <c r="K84" s="58"/>
      <c r="L84" s="1"/>
      <c r="M84" s="1"/>
      <c r="N84" s="1"/>
      <c r="O84" s="1"/>
      <c r="R84" s="19"/>
      <c r="T84" s="18"/>
      <c r="U84" s="18"/>
      <c r="V84" s="55"/>
    </row>
    <row r="85" spans="2:22" x14ac:dyDescent="0.25">
      <c r="B85" s="57"/>
      <c r="C85" s="1"/>
      <c r="D85" s="1"/>
      <c r="E85" s="1"/>
      <c r="F85" s="1"/>
      <c r="G85" s="1"/>
      <c r="H85" s="1"/>
      <c r="I85" s="58"/>
      <c r="J85" s="58"/>
      <c r="K85" s="58"/>
      <c r="L85" s="1"/>
      <c r="M85" s="1"/>
      <c r="N85" s="1"/>
      <c r="O85" s="1"/>
      <c r="R85" s="19"/>
      <c r="T85" s="18"/>
      <c r="U85" s="18"/>
      <c r="V85" s="55"/>
    </row>
    <row r="86" spans="2:22" x14ac:dyDescent="0.25">
      <c r="B86" s="57"/>
      <c r="C86" s="1"/>
      <c r="D86" s="1"/>
      <c r="E86" s="1"/>
      <c r="F86" s="1"/>
      <c r="G86" s="1"/>
      <c r="H86" s="1"/>
      <c r="I86" s="58"/>
      <c r="J86" s="58"/>
      <c r="K86" s="58"/>
      <c r="L86" s="1"/>
      <c r="M86" s="1"/>
      <c r="N86" s="1"/>
      <c r="O86" s="1"/>
      <c r="R86" s="19"/>
      <c r="T86" s="18"/>
      <c r="U86" s="18"/>
      <c r="V86" s="55"/>
    </row>
    <row r="87" spans="2:22" x14ac:dyDescent="0.25">
      <c r="B87" s="57"/>
      <c r="C87" s="1"/>
      <c r="D87" s="1"/>
      <c r="E87" s="1"/>
      <c r="F87" s="1"/>
      <c r="G87" s="1"/>
      <c r="H87" s="1"/>
      <c r="I87" s="58"/>
      <c r="J87" s="58"/>
      <c r="K87" s="58"/>
      <c r="L87" s="1"/>
      <c r="M87" s="1"/>
      <c r="N87" s="1"/>
      <c r="O87" s="1"/>
      <c r="R87" s="19"/>
      <c r="T87" s="18"/>
      <c r="U87" s="18"/>
      <c r="V87" s="55"/>
    </row>
    <row r="88" spans="2:22" x14ac:dyDescent="0.25">
      <c r="B88" s="57"/>
      <c r="C88" s="1"/>
      <c r="D88" s="1"/>
      <c r="E88" s="1"/>
      <c r="F88" s="1"/>
      <c r="G88" s="1"/>
      <c r="H88" s="1"/>
      <c r="I88" s="58"/>
      <c r="J88" s="58"/>
      <c r="K88" s="58"/>
      <c r="L88" s="1"/>
      <c r="M88" s="1"/>
      <c r="N88" s="1"/>
      <c r="O88" s="1"/>
      <c r="R88" s="19"/>
      <c r="T88" s="18"/>
      <c r="U88" s="18"/>
      <c r="V88" s="55"/>
    </row>
    <row r="89" spans="2:22" x14ac:dyDescent="0.25">
      <c r="B89" s="57"/>
      <c r="C89" s="1"/>
      <c r="D89" s="1"/>
      <c r="E89" s="1"/>
      <c r="F89" s="1"/>
      <c r="G89" s="1"/>
      <c r="H89" s="1"/>
      <c r="I89" s="58"/>
      <c r="J89" s="58"/>
      <c r="K89" s="58"/>
      <c r="L89" s="1"/>
      <c r="M89" s="1"/>
      <c r="N89" s="1"/>
      <c r="O89" s="1"/>
      <c r="R89" s="19"/>
      <c r="T89" s="18"/>
      <c r="U89" s="18"/>
      <c r="V89" s="55"/>
    </row>
    <row r="90" spans="2:22" x14ac:dyDescent="0.25">
      <c r="B90" s="57"/>
      <c r="C90" s="1"/>
      <c r="D90" s="1"/>
      <c r="E90" s="1"/>
      <c r="F90" s="1"/>
      <c r="G90" s="1"/>
      <c r="H90" s="1"/>
      <c r="I90" s="58"/>
      <c r="J90" s="58"/>
      <c r="K90" s="58"/>
      <c r="L90" s="1"/>
      <c r="M90" s="1"/>
      <c r="N90" s="1"/>
      <c r="O90" s="1"/>
      <c r="R90" s="19"/>
      <c r="T90" s="18"/>
      <c r="U90" s="18"/>
      <c r="V90" s="55"/>
    </row>
    <row r="91" spans="2:22" x14ac:dyDescent="0.25">
      <c r="B91" s="57"/>
      <c r="C91" s="1"/>
      <c r="D91" s="1"/>
      <c r="E91" s="1"/>
      <c r="F91" s="1"/>
      <c r="G91" s="1"/>
      <c r="H91" s="1"/>
      <c r="I91" s="58"/>
      <c r="J91" s="58"/>
      <c r="K91" s="58"/>
      <c r="L91" s="1"/>
      <c r="M91" s="1"/>
      <c r="N91" s="1"/>
      <c r="O91" s="1"/>
      <c r="R91" s="19"/>
      <c r="T91" s="18"/>
      <c r="U91" s="18"/>
      <c r="V91" s="55"/>
    </row>
    <row r="92" spans="2:22" x14ac:dyDescent="0.25">
      <c r="B92" s="57"/>
      <c r="C92" s="1"/>
      <c r="D92" s="1"/>
      <c r="E92" s="1"/>
      <c r="F92" s="1"/>
      <c r="G92" s="1"/>
      <c r="H92" s="1"/>
      <c r="I92" s="58"/>
      <c r="J92" s="58"/>
      <c r="K92" s="58"/>
      <c r="L92" s="1"/>
      <c r="M92" s="1"/>
      <c r="N92" s="1"/>
      <c r="O92" s="1"/>
      <c r="R92" s="19"/>
      <c r="T92" s="18"/>
      <c r="U92" s="18"/>
      <c r="V92" s="55"/>
    </row>
    <row r="93" spans="2:22" x14ac:dyDescent="0.25">
      <c r="B93" s="57"/>
      <c r="C93" s="1"/>
      <c r="D93" s="1"/>
      <c r="E93" s="1"/>
      <c r="F93" s="1"/>
      <c r="G93" s="1"/>
      <c r="H93" s="1"/>
      <c r="I93" s="58"/>
      <c r="J93" s="58"/>
      <c r="K93" s="58"/>
      <c r="L93" s="1"/>
      <c r="M93" s="1"/>
      <c r="N93" s="1"/>
      <c r="O93" s="1"/>
      <c r="R93" s="19"/>
      <c r="T93" s="18"/>
      <c r="U93" s="18"/>
      <c r="V93" s="55"/>
    </row>
    <row r="94" spans="2:22" x14ac:dyDescent="0.25">
      <c r="B94" s="57"/>
      <c r="C94" s="1"/>
      <c r="D94" s="1"/>
      <c r="E94" s="1"/>
      <c r="F94" s="1"/>
      <c r="G94" s="1"/>
      <c r="H94" s="1"/>
      <c r="I94" s="58"/>
      <c r="J94" s="58"/>
      <c r="K94" s="58"/>
      <c r="L94" s="1"/>
      <c r="M94" s="1"/>
      <c r="N94" s="1"/>
      <c r="O94" s="1"/>
      <c r="R94" s="19"/>
      <c r="T94" s="18"/>
      <c r="U94" s="18"/>
      <c r="V94" s="55"/>
    </row>
    <row r="95" spans="2:22" x14ac:dyDescent="0.25">
      <c r="B95" s="57"/>
      <c r="C95" s="1"/>
      <c r="D95" s="1"/>
      <c r="E95" s="1"/>
      <c r="F95" s="1"/>
      <c r="G95" s="58"/>
      <c r="H95" s="58"/>
      <c r="I95" s="58"/>
      <c r="J95" s="1"/>
      <c r="K95" s="1"/>
      <c r="L95" s="1"/>
      <c r="M95" s="1"/>
      <c r="N95" s="1"/>
      <c r="O95" s="1"/>
      <c r="R95" s="19"/>
      <c r="T95" s="18"/>
      <c r="U95" s="18"/>
      <c r="V95" s="55"/>
    </row>
    <row r="96" spans="2:22" x14ac:dyDescent="0.25">
      <c r="B96" s="52"/>
      <c r="G96" s="18"/>
      <c r="H96" s="18"/>
      <c r="I96" s="18"/>
      <c r="R96" s="19"/>
      <c r="T96" s="18"/>
      <c r="U96" s="18"/>
      <c r="V96" s="55"/>
    </row>
    <row r="97" spans="2:22" x14ac:dyDescent="0.25">
      <c r="B97" s="52"/>
      <c r="G97" s="18"/>
      <c r="H97" s="18"/>
      <c r="I97" s="18"/>
      <c r="R97" s="19"/>
      <c r="T97" s="18"/>
      <c r="U97" s="18"/>
      <c r="V97" s="55"/>
    </row>
    <row r="98" spans="2:22" x14ac:dyDescent="0.25">
      <c r="B98" s="52"/>
      <c r="G98" s="18"/>
      <c r="H98" s="18"/>
      <c r="I98" s="18"/>
      <c r="R98" s="19"/>
      <c r="T98" s="18"/>
      <c r="U98" s="18"/>
      <c r="V98" s="55"/>
    </row>
    <row r="99" spans="2:22" x14ac:dyDescent="0.25">
      <c r="B99" s="52"/>
      <c r="G99" s="18"/>
      <c r="H99" s="18"/>
      <c r="I99" s="18"/>
      <c r="R99" s="19"/>
      <c r="T99" s="18"/>
      <c r="U99" s="18"/>
      <c r="V99" s="55"/>
    </row>
    <row r="100" spans="2:22" x14ac:dyDescent="0.25">
      <c r="B100" s="52"/>
      <c r="G100" s="18"/>
      <c r="H100" s="18"/>
      <c r="I100" s="18"/>
      <c r="R100" s="19"/>
      <c r="T100" s="18"/>
      <c r="U100" s="18"/>
      <c r="V100" s="55"/>
    </row>
    <row r="101" spans="2:22" x14ac:dyDescent="0.25">
      <c r="B101" s="52"/>
      <c r="G101" s="18"/>
      <c r="H101" s="18"/>
      <c r="I101" s="18"/>
      <c r="R101" s="19"/>
      <c r="T101" s="18"/>
      <c r="U101" s="18"/>
      <c r="V101" s="55"/>
    </row>
    <row r="102" spans="2:22" x14ac:dyDescent="0.25">
      <c r="B102" s="52"/>
      <c r="G102" s="18"/>
      <c r="H102" s="18"/>
      <c r="I102" s="18"/>
      <c r="R102" s="19"/>
      <c r="T102" s="18"/>
      <c r="U102" s="18"/>
      <c r="V102" s="55"/>
    </row>
    <row r="103" spans="2:22" x14ac:dyDescent="0.25">
      <c r="B103" s="52"/>
      <c r="G103" s="18"/>
      <c r="H103" s="18"/>
      <c r="I103" s="18"/>
      <c r="R103" s="19"/>
      <c r="T103" s="18"/>
      <c r="U103" s="18"/>
      <c r="V103" s="55"/>
    </row>
    <row r="104" spans="2:22" x14ac:dyDescent="0.25">
      <c r="B104" s="52"/>
      <c r="G104" s="18"/>
      <c r="H104" s="18"/>
      <c r="I104" s="18"/>
      <c r="R104" s="19"/>
      <c r="T104" s="18"/>
      <c r="U104" s="18"/>
      <c r="V104" s="55"/>
    </row>
    <row r="105" spans="2:22" x14ac:dyDescent="0.25">
      <c r="T105" s="18"/>
      <c r="U105" s="18"/>
      <c r="V105" s="55"/>
    </row>
    <row r="106" spans="2:22" x14ac:dyDescent="0.25">
      <c r="R106" s="19"/>
      <c r="T106" s="18"/>
      <c r="U106" s="18"/>
      <c r="V106" s="5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3"/>
  <dimension ref="A1:AD67"/>
  <sheetViews>
    <sheetView topLeftCell="A13" zoomScale="90" zoomScaleNormal="90" workbookViewId="0">
      <selection activeCell="P63" sqref="P63"/>
    </sheetView>
  </sheetViews>
  <sheetFormatPr defaultRowHeight="15" x14ac:dyDescent="0.25"/>
  <cols>
    <col min="6" max="6" width="13.7109375" bestFit="1" customWidth="1"/>
    <col min="7" max="7" width="13.140625" customWidth="1"/>
    <col min="18" max="18" width="20.140625" customWidth="1"/>
    <col min="19" max="19" width="5" bestFit="1" customWidth="1"/>
  </cols>
  <sheetData>
    <row r="1" spans="1:30" x14ac:dyDescent="0.25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</row>
    <row r="2" spans="1:30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</row>
    <row r="3" spans="1:30" x14ac:dyDescent="0.25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</row>
    <row r="4" spans="1:30" x14ac:dyDescent="0.25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</row>
    <row r="5" spans="1:30" x14ac:dyDescent="0.2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</row>
    <row r="6" spans="1:30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</row>
    <row r="7" spans="1:30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</row>
    <row r="8" spans="1:30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</row>
    <row r="9" spans="1:30" ht="20.25" x14ac:dyDescent="0.3">
      <c r="A9" s="28"/>
      <c r="B9" s="17" t="s">
        <v>812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2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</row>
    <row r="10" spans="1:30" x14ac:dyDescent="0.25">
      <c r="A10" s="28"/>
      <c r="B10" s="11"/>
      <c r="C10" s="11"/>
      <c r="D10" s="11"/>
      <c r="E10" s="11"/>
      <c r="F10" s="11"/>
      <c r="G10" s="11"/>
      <c r="H10" s="2"/>
      <c r="I10" s="2"/>
      <c r="J10" s="2"/>
      <c r="K10" s="2"/>
      <c r="L10" s="2"/>
      <c r="M10" s="2"/>
      <c r="N10" s="2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</row>
    <row r="11" spans="1:30" x14ac:dyDescent="0.25">
      <c r="A11" s="28"/>
      <c r="B11" s="2" t="s">
        <v>114</v>
      </c>
      <c r="C11" s="2"/>
      <c r="D11" s="2">
        <f ca="1">User_Used_Stroke_Length-Stroke</f>
        <v>-5</v>
      </c>
      <c r="E11" s="2" t="s">
        <v>7</v>
      </c>
      <c r="F11" s="2"/>
      <c r="G11" s="2" t="s">
        <v>119</v>
      </c>
      <c r="H11" s="2"/>
      <c r="I11" s="2"/>
      <c r="J11" s="2"/>
      <c r="K11" s="2"/>
      <c r="L11" s="2"/>
      <c r="M11" s="2"/>
      <c r="N11" s="2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</row>
    <row r="12" spans="1:30" x14ac:dyDescent="0.25">
      <c r="A12" s="28"/>
      <c r="B12" s="9"/>
      <c r="C12" s="9"/>
      <c r="D12" s="44"/>
      <c r="E12" s="9"/>
      <c r="F12" s="32" t="str">
        <f t="array" ref="F12:G15">Spacer_List</f>
        <v>Spacer (1 mm)</v>
      </c>
      <c r="G12" s="32">
        <f ca="1"/>
        <v>0</v>
      </c>
      <c r="H12" s="2"/>
      <c r="I12" s="2"/>
      <c r="J12" s="2"/>
      <c r="K12" s="2"/>
      <c r="L12" s="2"/>
      <c r="M12" s="2"/>
      <c r="N12" s="2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</row>
    <row r="13" spans="1:30" x14ac:dyDescent="0.25">
      <c r="A13" s="28"/>
      <c r="B13" s="9"/>
      <c r="C13" s="9"/>
      <c r="D13" s="9"/>
      <c r="E13" s="9"/>
      <c r="F13" s="32" t="str">
        <v>Spacer (2 mm)</v>
      </c>
      <c r="G13" s="32">
        <f ca="1"/>
        <v>0</v>
      </c>
      <c r="H13" s="2"/>
      <c r="I13" s="2"/>
      <c r="J13" s="2"/>
      <c r="K13" s="2"/>
      <c r="L13" s="2"/>
      <c r="M13" s="2"/>
      <c r="N13" s="2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</row>
    <row r="14" spans="1:30" x14ac:dyDescent="0.25">
      <c r="A14" s="28"/>
      <c r="B14" s="9"/>
      <c r="C14" s="9"/>
      <c r="D14" s="9"/>
      <c r="E14" s="9"/>
      <c r="F14" s="32" t="str">
        <v>Spacer (4 mm)</v>
      </c>
      <c r="G14" s="32">
        <f ca="1"/>
        <v>1</v>
      </c>
      <c r="H14" s="2"/>
      <c r="I14" s="2"/>
      <c r="J14" s="2"/>
      <c r="K14" s="2"/>
      <c r="L14" s="2"/>
      <c r="M14" s="2"/>
      <c r="N14" s="2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</row>
    <row r="15" spans="1:30" x14ac:dyDescent="0.25">
      <c r="A15" s="28"/>
      <c r="B15" s="9"/>
      <c r="C15" s="9"/>
      <c r="D15" s="9"/>
      <c r="E15" s="9"/>
      <c r="F15" s="32" t="str">
        <v>Spacer (8 mm)</v>
      </c>
      <c r="G15" s="32">
        <f ca="1"/>
        <v>1</v>
      </c>
      <c r="H15" s="2"/>
      <c r="I15" s="2"/>
      <c r="J15" s="2"/>
      <c r="K15" s="2"/>
      <c r="L15" s="2"/>
      <c r="M15" s="9"/>
      <c r="N15" s="2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</row>
    <row r="16" spans="1:30" x14ac:dyDescent="0.25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</row>
    <row r="17" spans="1:30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</row>
    <row r="18" spans="1:30" x14ac:dyDescent="0.25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</row>
    <row r="19" spans="1:30" x14ac:dyDescent="0.25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</row>
    <row r="20" spans="1:30" x14ac:dyDescent="0.25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</row>
    <row r="21" spans="1:30" x14ac:dyDescent="0.25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</row>
    <row r="22" spans="1:30" x14ac:dyDescent="0.25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x14ac:dyDescent="0.2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x14ac:dyDescent="0.25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x14ac:dyDescent="0.25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x14ac:dyDescent="0.25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x14ac:dyDescent="0.2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x14ac:dyDescent="0.25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x14ac:dyDescent="0.25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9" t="s">
        <v>809</v>
      </c>
      <c r="R29" s="2"/>
      <c r="S29" s="46">
        <v>500</v>
      </c>
      <c r="T29" s="2" t="s">
        <v>7</v>
      </c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x14ac:dyDescent="0.25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11" t="s">
        <v>810</v>
      </c>
      <c r="R30" s="2"/>
      <c r="S30" s="45">
        <v>400</v>
      </c>
      <c r="T30" s="2" t="s">
        <v>7</v>
      </c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x14ac:dyDescent="0.25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x14ac:dyDescent="0.25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" t="s">
        <v>822</v>
      </c>
      <c r="R32" s="2"/>
      <c r="S32" s="2">
        <f ca="1">Press_velocity_at_impact</f>
        <v>0.03</v>
      </c>
      <c r="T32" s="2" t="s">
        <v>5</v>
      </c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x14ac:dyDescent="0.25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" t="s">
        <v>821</v>
      </c>
      <c r="R33" s="2"/>
      <c r="S33" s="2">
        <f>Max_Press_Speed</f>
        <v>0.31</v>
      </c>
      <c r="T33" s="2" t="s">
        <v>5</v>
      </c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x14ac:dyDescent="0.2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x14ac:dyDescent="0.25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47" t="s">
        <v>813</v>
      </c>
      <c r="R35" s="11"/>
      <c r="S35" s="11"/>
      <c r="T35" s="11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x14ac:dyDescent="0.2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11" t="s">
        <v>811</v>
      </c>
      <c r="R36" s="2"/>
      <c r="S36" s="45">
        <v>2</v>
      </c>
      <c r="T36" s="11" t="s">
        <v>799</v>
      </c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x14ac:dyDescent="0.25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x14ac:dyDescent="0.25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61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x14ac:dyDescent="0.2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x14ac:dyDescent="0.2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x14ac:dyDescent="0.25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x14ac:dyDescent="0.25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x14ac:dyDescent="0.25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x14ac:dyDescent="0.25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x14ac:dyDescent="0.25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x14ac:dyDescent="0.25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x14ac:dyDescent="0.25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x14ac:dyDescent="0.25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x14ac:dyDescent="0.25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x14ac:dyDescent="0.25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x14ac:dyDescent="0.25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x14ac:dyDescent="0.25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x14ac:dyDescent="0.25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x14ac:dyDescent="0.25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x14ac:dyDescent="0.2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x14ac:dyDescent="0.2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x14ac:dyDescent="0.2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x14ac:dyDescent="0.2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x14ac:dyDescent="0.2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x14ac:dyDescent="0.2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x14ac:dyDescent="0.2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x14ac:dyDescent="0.2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x14ac:dyDescent="0.2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x14ac:dyDescent="0.2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Drop Down 1">
              <controlPr defaultSize="0" autoLine="0" autoPict="0">
                <anchor moveWithCells="1">
                  <from>
                    <xdr:col>1</xdr:col>
                    <xdr:colOff>0</xdr:colOff>
                    <xdr:row>18</xdr:row>
                    <xdr:rowOff>28575</xdr:rowOff>
                  </from>
                  <to>
                    <xdr:col>2</xdr:col>
                    <xdr:colOff>485775</xdr:colOff>
                    <xdr:row>19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9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9</vt:i4>
      </vt:variant>
      <vt:variant>
        <vt:lpstr>Namngivna områden</vt:lpstr>
      </vt:variant>
      <vt:variant>
        <vt:i4>67</vt:i4>
      </vt:variant>
    </vt:vector>
  </HeadingPairs>
  <TitlesOfParts>
    <vt:vector size="76" baseType="lpstr">
      <vt:lpstr>Calculator</vt:lpstr>
      <vt:lpstr>Produkter</vt:lpstr>
      <vt:lpstr>Length_Adjustment</vt:lpstr>
      <vt:lpstr>Heat_Factor</vt:lpstr>
      <vt:lpstr>Fjäderkurva</vt:lpstr>
      <vt:lpstr>Excenterpress</vt:lpstr>
      <vt:lpstr>Spring_Back</vt:lpstr>
      <vt:lpstr>För_Helpdesk</vt:lpstr>
      <vt:lpstr>Blad1</vt:lpstr>
      <vt:lpstr>Adjustment</vt:lpstr>
      <vt:lpstr>Cooler</vt:lpstr>
      <vt:lpstr>Cooler_Message</vt:lpstr>
      <vt:lpstr>Cooler_OrderNo</vt:lpstr>
      <vt:lpstr>Cooler_Quantity</vt:lpstr>
      <vt:lpstr>Cooler_Selection</vt:lpstr>
      <vt:lpstr>Cooling_Alt_Rows</vt:lpstr>
      <vt:lpstr>Cooling_Ant</vt:lpstr>
      <vt:lpstr>CoolingMatrix</vt:lpstr>
      <vt:lpstr>crank_radius</vt:lpstr>
      <vt:lpstr>Cykeltid</vt:lpstr>
      <vt:lpstr>Description</vt:lpstr>
      <vt:lpstr>Dks</vt:lpstr>
      <vt:lpstr>Dksi</vt:lpstr>
      <vt:lpstr>Dt</vt:lpstr>
      <vt:lpstr>Excenter_Stroke</vt:lpstr>
      <vt:lpstr>Ext_Cooling_Need</vt:lpstr>
      <vt:lpstr>Ext_Cooling_per_spring</vt:lpstr>
      <vt:lpstr>Fi</vt:lpstr>
      <vt:lpstr>Force_Size</vt:lpstr>
      <vt:lpstr>Fs</vt:lpstr>
      <vt:lpstr>Heat_Data</vt:lpstr>
      <vt:lpstr>Heat_Factor</vt:lpstr>
      <vt:lpstr>Heat_Factor_Matrix</vt:lpstr>
      <vt:lpstr>Index_List_Box_21</vt:lpstr>
      <vt:lpstr>Index_ListBox1</vt:lpstr>
      <vt:lpstr>L_Min</vt:lpstr>
      <vt:lpstr>Liquid_Cooler_10kW_Capacity</vt:lpstr>
      <vt:lpstr>Liquid_Cooler_25kW_Capacity</vt:lpstr>
      <vt:lpstr>Locked_Spring</vt:lpstr>
      <vt:lpstr>LockValue</vt:lpstr>
      <vt:lpstr>Max_Press_Speed</vt:lpstr>
      <vt:lpstr>MaxGasPressure</vt:lpstr>
      <vt:lpstr>MaxStrokeLength</vt:lpstr>
      <vt:lpstr>MinGasPressure</vt:lpstr>
      <vt:lpstr>MinStrokelength</vt:lpstr>
      <vt:lpstr>ModelSize</vt:lpstr>
      <vt:lpstr>NewStroke</vt:lpstr>
      <vt:lpstr>Nitro_Cooler_Capacity</vt:lpstr>
      <vt:lpstr>NrOfCoolAlt</vt:lpstr>
      <vt:lpstr>Period_time</vt:lpstr>
      <vt:lpstr>Spring_Back!Piston_Rod_Area</vt:lpstr>
      <vt:lpstr>Piston_Rod_Diameter</vt:lpstr>
      <vt:lpstr>PistonArea</vt:lpstr>
      <vt:lpstr>Press_velocity_at_impact</vt:lpstr>
      <vt:lpstr>Return_Speed</vt:lpstr>
      <vt:lpstr>Returtid</vt:lpstr>
      <vt:lpstr>Spring_Back!Ring_Area</vt:lpstr>
      <vt:lpstr>rod_length</vt:lpstr>
      <vt:lpstr>Seconds_per_stroke</vt:lpstr>
      <vt:lpstr>Slutval</vt:lpstr>
      <vt:lpstr>Spacer_List</vt:lpstr>
      <vt:lpstr>Spring_Back!Spring_Back</vt:lpstr>
      <vt:lpstr>Stroke</vt:lpstr>
      <vt:lpstr>Stroke_adjustment</vt:lpstr>
      <vt:lpstr>Temperature_Reducing_Factor</vt:lpstr>
      <vt:lpstr>Total_Power</vt:lpstr>
      <vt:lpstr>Total_Work_20</vt:lpstr>
      <vt:lpstr>Total_Work_80</vt:lpstr>
      <vt:lpstr>Used_Stroke_Ref</vt:lpstr>
      <vt:lpstr>UsedStroke</vt:lpstr>
      <vt:lpstr>User_Charge_Pressure</vt:lpstr>
      <vt:lpstr>User_Number_of_Springs</vt:lpstr>
      <vt:lpstr>User_Strokes_per_Minute</vt:lpstr>
      <vt:lpstr>User_Surrounding_Temperature</vt:lpstr>
      <vt:lpstr>User_Used_Stroke_Length</vt:lpstr>
      <vt:lpstr>Calculator!Utskriftsområde</vt:lpstr>
    </vt:vector>
  </TitlesOfParts>
  <Company>Strömsholmen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Cronholm, Marcus</dc:creator>
  <cp:lastModifiedBy>Marcus, Cronholm</cp:lastModifiedBy>
  <cp:lastPrinted>2018-08-01T11:58:12Z</cp:lastPrinted>
  <dcterms:created xsi:type="dcterms:W3CDTF">2018-07-11T08:05:36Z</dcterms:created>
  <dcterms:modified xsi:type="dcterms:W3CDTF">2021-08-18T08:07:58Z</dcterms:modified>
</cp:coreProperties>
</file>