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filterPrivacy="1" updateLinks="never" codeName="ThisWorkbook" defaultThemeVersion="124226"/>
  <workbookProtection workbookPassword="F52C" lockStructure="1"/>
  <bookViews>
    <workbookView showSheetTabs="0" xWindow="45" yWindow="15" windowWidth="14520" windowHeight="14595"/>
  </bookViews>
  <sheets>
    <sheet name="Calculator" sheetId="2" r:id="rId1"/>
    <sheet name="Kaller" sheetId="1" state="hidden" r:id="rId2"/>
    <sheet name="Ford" sheetId="4" state="hidden" r:id="rId3"/>
    <sheet name="GM" sheetId="13" state="hidden" r:id="rId4"/>
    <sheet name="Unit conv" sheetId="6" state="hidden" r:id="rId5"/>
    <sheet name="Fjäderkurva" sheetId="7" state="hidden" r:id="rId6"/>
    <sheet name="Tempdatabladet" sheetId="12" state="hidden" r:id="rId7"/>
  </sheets>
  <functionGroups builtInGroupCount="17"/>
  <externalReferences>
    <externalReference r:id="rId8"/>
    <externalReference r:id="rId9"/>
    <externalReference r:id="rId10"/>
  </externalReferences>
  <definedNames>
    <definedName name="Djur">[1]Blad1!$G$25:$O$25</definedName>
    <definedName name="Djurval">[1]Blad1!$S$27</definedName>
    <definedName name="Efternamn">[1]Blad1!$F$27:$F$31</definedName>
    <definedName name="Namnmatris">[1]Blad1!$G$27:$O$31</definedName>
    <definedName name="Namnval">[1]Blad1!$R$27</definedName>
    <definedName name="tblKaller" localSheetId="3">#REF!</definedName>
    <definedName name="tblKaller">#REF!</definedName>
    <definedName name="Transportmedel">[1]Blad1!$D$4:$D$7</definedName>
    <definedName name="Utnyttjad_slaglängd">'[2]Ford meny'!$D$12</definedName>
    <definedName name="_xlnm.Print_Area" localSheetId="0">Calculator!$T$4:$AG$49</definedName>
    <definedName name="Val_1">[1]Blad1!$F$14</definedName>
    <definedName name="Val_2">[1]Blad1!$G$14</definedName>
    <definedName name="Varianter">[1]Blad1!$F$3:$I$3</definedName>
    <definedName name="Vikter">[1]Blad1!$F$4:$I$7</definedName>
  </definedNames>
  <calcPr calcId="145621"/>
</workbook>
</file>

<file path=xl/calcChain.xml><?xml version="1.0" encoding="utf-8"?>
<calcChain xmlns="http://schemas.openxmlformats.org/spreadsheetml/2006/main">
  <c r="A167" i="12" l="1"/>
  <c r="A166" i="12"/>
  <c r="A165" i="12"/>
  <c r="A164" i="12"/>
  <c r="V167" i="12"/>
  <c r="L167" i="12"/>
  <c r="J167" i="12"/>
  <c r="I167" i="12"/>
  <c r="F167" i="12"/>
  <c r="V166" i="12"/>
  <c r="L166" i="12"/>
  <c r="J166" i="12"/>
  <c r="I166" i="12"/>
  <c r="F166" i="12"/>
  <c r="V165" i="12"/>
  <c r="L165" i="12"/>
  <c r="J165" i="12"/>
  <c r="I165" i="12"/>
  <c r="F165" i="12"/>
  <c r="M165" i="12" s="1"/>
  <c r="V164" i="12"/>
  <c r="L164" i="12"/>
  <c r="J164" i="12"/>
  <c r="I164" i="12"/>
  <c r="F164" i="12"/>
  <c r="M164" i="12" s="1"/>
  <c r="S163" i="12"/>
  <c r="R163" i="12"/>
  <c r="AB162" i="12"/>
  <c r="R162" i="12"/>
  <c r="AB161" i="12"/>
  <c r="R161" i="12"/>
  <c r="M166" i="12" l="1"/>
  <c r="B34" i="6"/>
  <c r="AH10" i="7" l="1"/>
  <c r="U41" i="2" s="1"/>
  <c r="AG10" i="7"/>
  <c r="D20" i="7"/>
  <c r="J151" i="12" l="1"/>
  <c r="J152" i="12"/>
  <c r="J153" i="12"/>
  <c r="J154" i="12"/>
  <c r="J155" i="12"/>
  <c r="J156" i="12"/>
  <c r="J157" i="12"/>
  <c r="J150" i="12"/>
  <c r="J141" i="12"/>
  <c r="J142" i="12"/>
  <c r="J143" i="12"/>
  <c r="J144" i="12"/>
  <c r="J140" i="12"/>
  <c r="J134" i="12"/>
  <c r="J122" i="12"/>
  <c r="J123" i="12"/>
  <c r="J124" i="12"/>
  <c r="J125" i="12"/>
  <c r="J126" i="12"/>
  <c r="J127" i="12"/>
  <c r="J128" i="12"/>
  <c r="J121" i="12"/>
  <c r="J112" i="12"/>
  <c r="J113" i="12"/>
  <c r="J114" i="12"/>
  <c r="J115" i="12"/>
  <c r="J111" i="12"/>
  <c r="J105" i="12"/>
  <c r="J99" i="12"/>
  <c r="J93" i="12"/>
  <c r="J80" i="12"/>
  <c r="J81" i="12"/>
  <c r="J82" i="12"/>
  <c r="J83" i="12"/>
  <c r="J84" i="12"/>
  <c r="J85" i="12"/>
  <c r="J86" i="12"/>
  <c r="J87" i="12"/>
  <c r="J79" i="12"/>
  <c r="J63" i="12"/>
  <c r="J64" i="12"/>
  <c r="J65" i="12"/>
  <c r="J66" i="12"/>
  <c r="J67" i="12"/>
  <c r="J68" i="12"/>
  <c r="J69" i="12"/>
  <c r="J70" i="12"/>
  <c r="J71" i="12"/>
  <c r="J72" i="12"/>
  <c r="J73" i="12"/>
  <c r="J62" i="12"/>
  <c r="J56" i="12"/>
  <c r="J50" i="12"/>
  <c r="J41" i="12"/>
  <c r="J42" i="12"/>
  <c r="J43" i="12"/>
  <c r="J44" i="12"/>
  <c r="J40" i="12"/>
  <c r="J33" i="12"/>
  <c r="J34" i="12"/>
  <c r="J32" i="12"/>
  <c r="J26" i="12"/>
  <c r="J25" i="12"/>
  <c r="J24" i="12"/>
  <c r="J11" i="12"/>
  <c r="J12" i="12"/>
  <c r="J13" i="12"/>
  <c r="J14" i="12"/>
  <c r="J15" i="12"/>
  <c r="J16" i="12"/>
  <c r="J17" i="12"/>
  <c r="J18" i="12"/>
  <c r="J10" i="12"/>
  <c r="I151" i="12"/>
  <c r="I152" i="12"/>
  <c r="I153" i="12"/>
  <c r="I154" i="12"/>
  <c r="I155" i="12"/>
  <c r="I156" i="12"/>
  <c r="I157" i="12"/>
  <c r="I150" i="12"/>
  <c r="I141" i="12"/>
  <c r="I142" i="12"/>
  <c r="I143" i="12"/>
  <c r="I144" i="12"/>
  <c r="I140" i="12"/>
  <c r="I134" i="12"/>
  <c r="I122" i="12"/>
  <c r="I123" i="12"/>
  <c r="I124" i="12"/>
  <c r="I125" i="12"/>
  <c r="I126" i="12"/>
  <c r="I127" i="12"/>
  <c r="I128" i="12"/>
  <c r="I121" i="12"/>
  <c r="I112" i="12"/>
  <c r="I113" i="12"/>
  <c r="I114" i="12"/>
  <c r="I115" i="12"/>
  <c r="I111" i="12"/>
  <c r="I105" i="12"/>
  <c r="I99" i="12"/>
  <c r="I93" i="12"/>
  <c r="I80" i="12"/>
  <c r="I81" i="12"/>
  <c r="I82" i="12"/>
  <c r="I83" i="12"/>
  <c r="I84" i="12"/>
  <c r="I85" i="12"/>
  <c r="I86" i="12"/>
  <c r="I87" i="12"/>
  <c r="I79" i="12"/>
  <c r="I63" i="12"/>
  <c r="I64" i="12"/>
  <c r="I65" i="12"/>
  <c r="I66" i="12"/>
  <c r="I67" i="12"/>
  <c r="I68" i="12"/>
  <c r="I69" i="12"/>
  <c r="I70" i="12"/>
  <c r="I71" i="12"/>
  <c r="I72" i="12"/>
  <c r="I73" i="12"/>
  <c r="I62" i="12"/>
  <c r="I56" i="12"/>
  <c r="I50" i="12"/>
  <c r="I41" i="12"/>
  <c r="I42" i="12"/>
  <c r="I43" i="12"/>
  <c r="I44" i="12"/>
  <c r="I40" i="12"/>
  <c r="I33" i="12"/>
  <c r="I34" i="12"/>
  <c r="I32" i="12"/>
  <c r="I25" i="12"/>
  <c r="I26" i="12"/>
  <c r="I24" i="12"/>
  <c r="I11" i="12"/>
  <c r="I12" i="12"/>
  <c r="I13" i="12"/>
  <c r="I14" i="12"/>
  <c r="I15" i="12"/>
  <c r="I16" i="12"/>
  <c r="I17" i="12"/>
  <c r="I18" i="12"/>
  <c r="I10" i="12"/>
  <c r="F151" i="12"/>
  <c r="F152" i="12"/>
  <c r="F153" i="12"/>
  <c r="F154" i="12"/>
  <c r="F155" i="12"/>
  <c r="F156" i="12"/>
  <c r="F157" i="12"/>
  <c r="F150" i="12"/>
  <c r="F141" i="12"/>
  <c r="F142" i="12"/>
  <c r="F143" i="12"/>
  <c r="F144" i="12"/>
  <c r="F140" i="12"/>
  <c r="F134" i="12"/>
  <c r="F122" i="12"/>
  <c r="F123" i="12"/>
  <c r="F124" i="12"/>
  <c r="F125" i="12"/>
  <c r="F126" i="12"/>
  <c r="F127" i="12"/>
  <c r="F128" i="12"/>
  <c r="F121" i="12"/>
  <c r="F112" i="12"/>
  <c r="F113" i="12"/>
  <c r="F114" i="12"/>
  <c r="F115" i="12"/>
  <c r="F111" i="12"/>
  <c r="F105" i="12"/>
  <c r="F99" i="12"/>
  <c r="F93" i="12"/>
  <c r="F80" i="12"/>
  <c r="F81" i="12"/>
  <c r="F82" i="12"/>
  <c r="F83" i="12"/>
  <c r="F84" i="12"/>
  <c r="F85" i="12"/>
  <c r="F86" i="12"/>
  <c r="F87" i="12"/>
  <c r="F79" i="12"/>
  <c r="F63" i="12"/>
  <c r="F64" i="12"/>
  <c r="F65" i="12"/>
  <c r="F66" i="12"/>
  <c r="F67" i="12"/>
  <c r="F68" i="12"/>
  <c r="F69" i="12"/>
  <c r="F70" i="12"/>
  <c r="F71" i="12"/>
  <c r="F72" i="12"/>
  <c r="F73" i="12"/>
  <c r="F62" i="12"/>
  <c r="F56" i="12"/>
  <c r="F50" i="12"/>
  <c r="F41" i="12"/>
  <c r="F42" i="12"/>
  <c r="F43" i="12"/>
  <c r="F44" i="12"/>
  <c r="F40" i="12"/>
  <c r="F33" i="12"/>
  <c r="F34" i="12"/>
  <c r="F32" i="12"/>
  <c r="F25" i="12"/>
  <c r="F26" i="12"/>
  <c r="F24" i="12"/>
  <c r="F11" i="12"/>
  <c r="F12" i="12"/>
  <c r="F13" i="12"/>
  <c r="F14" i="12"/>
  <c r="F15" i="12"/>
  <c r="F16" i="12"/>
  <c r="F17" i="12"/>
  <c r="F18" i="12"/>
  <c r="F10" i="12"/>
  <c r="A11" i="12" l="1"/>
  <c r="A12" i="12"/>
  <c r="A13" i="12"/>
  <c r="A14" i="12"/>
  <c r="A15" i="12"/>
  <c r="A16" i="12"/>
  <c r="A17" i="12"/>
  <c r="A18" i="12"/>
  <c r="A10" i="12"/>
  <c r="K5" i="2"/>
  <c r="K6" i="2" s="1"/>
  <c r="U24" i="2" s="1"/>
  <c r="A151" i="12"/>
  <c r="A152" i="12"/>
  <c r="A153" i="12"/>
  <c r="A154" i="12"/>
  <c r="A155" i="12"/>
  <c r="A156" i="12"/>
  <c r="A157" i="12"/>
  <c r="A150" i="12"/>
  <c r="A141" i="12"/>
  <c r="A142" i="12"/>
  <c r="A143" i="12"/>
  <c r="A144" i="12"/>
  <c r="A140" i="12"/>
  <c r="A134" i="12"/>
  <c r="A122" i="12"/>
  <c r="A123" i="12"/>
  <c r="A124" i="12"/>
  <c r="A125" i="12"/>
  <c r="A126" i="12"/>
  <c r="A127" i="12"/>
  <c r="A128" i="12"/>
  <c r="A121" i="12"/>
  <c r="A112" i="12"/>
  <c r="A113" i="12"/>
  <c r="A114" i="12"/>
  <c r="A115" i="12"/>
  <c r="A111" i="12"/>
  <c r="A80" i="12"/>
  <c r="A81" i="12"/>
  <c r="A82" i="12"/>
  <c r="A83" i="12"/>
  <c r="A84" i="12"/>
  <c r="A85" i="12"/>
  <c r="A86" i="12"/>
  <c r="A79" i="12"/>
  <c r="A41" i="12"/>
  <c r="A42" i="12"/>
  <c r="A43" i="12"/>
  <c r="A44" i="12"/>
  <c r="A40" i="12"/>
  <c r="A25" i="12"/>
  <c r="A26" i="12"/>
  <c r="A24" i="12"/>
  <c r="A63" i="12"/>
  <c r="A64" i="12"/>
  <c r="A65" i="12"/>
  <c r="A66" i="12"/>
  <c r="A67" i="12"/>
  <c r="A68" i="12"/>
  <c r="A69" i="12"/>
  <c r="A70" i="12"/>
  <c r="A71" i="12"/>
  <c r="A72" i="12"/>
  <c r="A73" i="12"/>
  <c r="A62" i="12"/>
  <c r="V157" i="12" l="1"/>
  <c r="M157" i="12"/>
  <c r="L157" i="12"/>
  <c r="V156" i="12"/>
  <c r="M156" i="12"/>
  <c r="L156" i="12"/>
  <c r="V155" i="12"/>
  <c r="M155" i="12"/>
  <c r="L155" i="12"/>
  <c r="V154" i="12"/>
  <c r="M154" i="12"/>
  <c r="L154" i="12"/>
  <c r="V153" i="12"/>
  <c r="M153" i="12"/>
  <c r="L153" i="12"/>
  <c r="V152" i="12"/>
  <c r="M152" i="12"/>
  <c r="L152" i="12"/>
  <c r="V151" i="12"/>
  <c r="M151" i="12"/>
  <c r="L151" i="12"/>
  <c r="V150" i="12"/>
  <c r="M150" i="12"/>
  <c r="L150" i="12"/>
  <c r="S149" i="12"/>
  <c r="R149" i="12"/>
  <c r="AB148" i="12"/>
  <c r="R148" i="12"/>
  <c r="AB147" i="12"/>
  <c r="R147" i="12"/>
  <c r="V144" i="12"/>
  <c r="M144" i="12"/>
  <c r="L144" i="12"/>
  <c r="V143" i="12"/>
  <c r="M143" i="12"/>
  <c r="L143" i="12"/>
  <c r="V142" i="12"/>
  <c r="M142" i="12"/>
  <c r="L142" i="12"/>
  <c r="V141" i="12"/>
  <c r="M141" i="12"/>
  <c r="L141" i="12"/>
  <c r="V140" i="12"/>
  <c r="M140" i="12"/>
  <c r="L140" i="12"/>
  <c r="S139" i="12"/>
  <c r="R139" i="12"/>
  <c r="AB138" i="12"/>
  <c r="R138" i="12"/>
  <c r="AB137" i="12"/>
  <c r="R137" i="12"/>
  <c r="V134" i="12"/>
  <c r="M134" i="12"/>
  <c r="L134" i="12"/>
  <c r="S133" i="12"/>
  <c r="R133" i="12"/>
  <c r="AB132" i="12"/>
  <c r="R132" i="12"/>
  <c r="AB131" i="12"/>
  <c r="R131" i="12"/>
  <c r="V128" i="12"/>
  <c r="M128" i="12"/>
  <c r="L128" i="12"/>
  <c r="V127" i="12"/>
  <c r="M127" i="12"/>
  <c r="L127" i="12"/>
  <c r="V126" i="12"/>
  <c r="M126" i="12"/>
  <c r="L126" i="12"/>
  <c r="V125" i="12"/>
  <c r="M125" i="12"/>
  <c r="L125" i="12"/>
  <c r="V124" i="12"/>
  <c r="M124" i="12"/>
  <c r="L124" i="12"/>
  <c r="V123" i="12"/>
  <c r="M123" i="12"/>
  <c r="L123" i="12"/>
  <c r="V122" i="12"/>
  <c r="M122" i="12"/>
  <c r="L122" i="12"/>
  <c r="V121" i="12"/>
  <c r="M121" i="12"/>
  <c r="L121" i="12"/>
  <c r="S120" i="12"/>
  <c r="R120" i="12"/>
  <c r="AB119" i="12"/>
  <c r="R119" i="12"/>
  <c r="AB118" i="12"/>
  <c r="R118" i="12"/>
  <c r="V115" i="12"/>
  <c r="M115" i="12"/>
  <c r="L115" i="12"/>
  <c r="V114" i="12"/>
  <c r="M114" i="12"/>
  <c r="L114" i="12"/>
  <c r="V113" i="12"/>
  <c r="M113" i="12"/>
  <c r="L113" i="12"/>
  <c r="V112" i="12"/>
  <c r="M112" i="12"/>
  <c r="L112" i="12"/>
  <c r="V111" i="12"/>
  <c r="M111" i="12"/>
  <c r="L111" i="12"/>
  <c r="S110" i="12"/>
  <c r="R110" i="12"/>
  <c r="AB109" i="12"/>
  <c r="R109" i="12"/>
  <c r="AB108" i="12"/>
  <c r="R108" i="12"/>
  <c r="V105" i="12"/>
  <c r="M105" i="12"/>
  <c r="L105" i="12"/>
  <c r="S104" i="12"/>
  <c r="R104" i="12"/>
  <c r="AB103" i="12"/>
  <c r="R103" i="12"/>
  <c r="AB102" i="12"/>
  <c r="R102" i="12"/>
  <c r="V99" i="12"/>
  <c r="M99" i="12"/>
  <c r="L99" i="12"/>
  <c r="AB97" i="12"/>
  <c r="AB96" i="12"/>
  <c r="V93" i="12"/>
  <c r="M93" i="12"/>
  <c r="L93" i="12"/>
  <c r="AB91" i="12"/>
  <c r="AB90" i="12"/>
  <c r="V87" i="12"/>
  <c r="M87" i="12"/>
  <c r="L87" i="12"/>
  <c r="V86" i="12"/>
  <c r="L86" i="12"/>
  <c r="V85" i="12"/>
  <c r="L85" i="12"/>
  <c r="V84" i="12"/>
  <c r="L84" i="12"/>
  <c r="V83" i="12"/>
  <c r="M83" i="12"/>
  <c r="L83" i="12"/>
  <c r="V82" i="12"/>
  <c r="M82" i="12"/>
  <c r="L82" i="12"/>
  <c r="V81" i="12"/>
  <c r="M81" i="12"/>
  <c r="L81" i="12"/>
  <c r="V80" i="12"/>
  <c r="M80" i="12"/>
  <c r="L80" i="12"/>
  <c r="V79" i="12"/>
  <c r="M79" i="12"/>
  <c r="L79" i="12"/>
  <c r="S78" i="12"/>
  <c r="R78" i="12"/>
  <c r="AB77" i="12"/>
  <c r="R77" i="12"/>
  <c r="AB76" i="12"/>
  <c r="R76" i="12"/>
  <c r="V73" i="12"/>
  <c r="L73" i="12"/>
  <c r="V72" i="12"/>
  <c r="M72" i="12"/>
  <c r="L72" i="12"/>
  <c r="V71" i="12"/>
  <c r="L71" i="12"/>
  <c r="V70" i="12"/>
  <c r="L70" i="12"/>
  <c r="V69" i="12"/>
  <c r="L69" i="12"/>
  <c r="V68" i="12"/>
  <c r="M68" i="12"/>
  <c r="L68" i="12"/>
  <c r="V67" i="12"/>
  <c r="M67" i="12"/>
  <c r="L67" i="12"/>
  <c r="V66" i="12"/>
  <c r="M66" i="12"/>
  <c r="L66" i="12"/>
  <c r="V65" i="12"/>
  <c r="M65" i="12"/>
  <c r="L65" i="12"/>
  <c r="V64" i="12"/>
  <c r="M64" i="12"/>
  <c r="L64" i="12"/>
  <c r="V63" i="12"/>
  <c r="M63" i="12"/>
  <c r="L63" i="12"/>
  <c r="V62" i="12"/>
  <c r="M62" i="12"/>
  <c r="L62" i="12"/>
  <c r="S61" i="12"/>
  <c r="R61" i="12"/>
  <c r="AB60" i="12"/>
  <c r="R60" i="12"/>
  <c r="AB59" i="12"/>
  <c r="R59" i="12"/>
  <c r="V56" i="12"/>
  <c r="M56" i="12"/>
  <c r="L56" i="12"/>
  <c r="S55" i="12"/>
  <c r="R55" i="12"/>
  <c r="AB54" i="12"/>
  <c r="R54" i="12"/>
  <c r="AB53" i="12"/>
  <c r="R53" i="12"/>
  <c r="V50" i="12"/>
  <c r="M50" i="12"/>
  <c r="L50" i="12"/>
  <c r="S49" i="12"/>
  <c r="R49" i="12"/>
  <c r="AB48" i="12"/>
  <c r="R48" i="12"/>
  <c r="AB47" i="12"/>
  <c r="R47" i="12"/>
  <c r="V44" i="12"/>
  <c r="M44" i="12"/>
  <c r="L44" i="12"/>
  <c r="V43" i="12"/>
  <c r="M43" i="12"/>
  <c r="L43" i="12"/>
  <c r="V42" i="12"/>
  <c r="M42" i="12"/>
  <c r="L42" i="12"/>
  <c r="V41" i="12"/>
  <c r="M41" i="12"/>
  <c r="L41" i="12"/>
  <c r="V40" i="12"/>
  <c r="M40" i="12"/>
  <c r="L40" i="12"/>
  <c r="S39" i="12"/>
  <c r="R39" i="12"/>
  <c r="AB38" i="12"/>
  <c r="R38" i="12"/>
  <c r="AB37" i="12"/>
  <c r="R37" i="12"/>
  <c r="V34" i="12"/>
  <c r="M34" i="12"/>
  <c r="L34" i="12"/>
  <c r="V33" i="12"/>
  <c r="M33" i="12"/>
  <c r="L33" i="12"/>
  <c r="V32" i="12"/>
  <c r="M32" i="12"/>
  <c r="L32" i="12"/>
  <c r="S31" i="12"/>
  <c r="R31" i="12"/>
  <c r="AB30" i="12"/>
  <c r="R30" i="12"/>
  <c r="AB29" i="12"/>
  <c r="R29" i="12"/>
  <c r="V26" i="12"/>
  <c r="L26" i="12"/>
  <c r="V25" i="12"/>
  <c r="L25" i="12"/>
  <c r="V24" i="12"/>
  <c r="L24" i="12"/>
  <c r="S23" i="12"/>
  <c r="R23" i="12"/>
  <c r="AB22" i="12"/>
  <c r="R22" i="12"/>
  <c r="AB21" i="12"/>
  <c r="R21" i="12"/>
  <c r="V18" i="12"/>
  <c r="O18" i="12"/>
  <c r="M18" i="12"/>
  <c r="N18" i="12" s="1"/>
  <c r="L18" i="12"/>
  <c r="V17" i="12"/>
  <c r="O17" i="12"/>
  <c r="M17" i="12"/>
  <c r="N17" i="12" s="1"/>
  <c r="L17" i="12"/>
  <c r="V16" i="12"/>
  <c r="M16" i="12"/>
  <c r="N16" i="12" s="1"/>
  <c r="L16" i="12"/>
  <c r="V15" i="12"/>
  <c r="M15" i="12"/>
  <c r="N15" i="12" s="1"/>
  <c r="L15" i="12"/>
  <c r="V14" i="12"/>
  <c r="O14" i="12"/>
  <c r="M14" i="12"/>
  <c r="N14" i="12" s="1"/>
  <c r="L14" i="12"/>
  <c r="V13" i="12"/>
  <c r="O13" i="12"/>
  <c r="M13" i="12"/>
  <c r="N13" i="12" s="1"/>
  <c r="L13" i="12"/>
  <c r="V12" i="12"/>
  <c r="O12" i="12"/>
  <c r="M12" i="12"/>
  <c r="N12" i="12" s="1"/>
  <c r="L12" i="12"/>
  <c r="V11" i="12"/>
  <c r="O11" i="12"/>
  <c r="M11" i="12"/>
  <c r="N11" i="12" s="1"/>
  <c r="L11" i="12"/>
  <c r="V10" i="12"/>
  <c r="O10" i="12"/>
  <c r="M10" i="12"/>
  <c r="N10" i="12" s="1"/>
  <c r="L10" i="12"/>
  <c r="S9" i="12"/>
  <c r="R9" i="12"/>
  <c r="AB8" i="12"/>
  <c r="R8" i="12"/>
  <c r="AB7" i="12"/>
  <c r="R7" i="12"/>
  <c r="D18" i="7" l="1"/>
  <c r="D15" i="7" l="1"/>
  <c r="D12" i="7"/>
  <c r="D11" i="7"/>
  <c r="D10" i="7"/>
  <c r="D9" i="7"/>
  <c r="B24" i="6"/>
  <c r="B23" i="6"/>
  <c r="D17" i="7" s="1"/>
  <c r="B18" i="6"/>
  <c r="B17" i="6"/>
  <c r="D51" i="7" l="1"/>
  <c r="Z18" i="2" s="1"/>
  <c r="D13" i="7"/>
  <c r="D14" i="7" s="1"/>
  <c r="Z17" i="2"/>
  <c r="AC17" i="2"/>
  <c r="AA44" i="2"/>
  <c r="AA42" i="2"/>
  <c r="U23" i="2" s="1"/>
  <c r="E17" i="7"/>
  <c r="E46" i="7" s="1"/>
  <c r="E16" i="7"/>
  <c r="Y17" i="2"/>
  <c r="J17" i="6"/>
  <c r="D16" i="7"/>
  <c r="D19" i="7" s="1"/>
  <c r="D24" i="7"/>
  <c r="D26" i="7" s="1"/>
  <c r="H166" i="12" l="1"/>
  <c r="N166" i="12" s="1"/>
  <c r="H164" i="12"/>
  <c r="N164" i="12" s="1"/>
  <c r="H167" i="12"/>
  <c r="N167" i="12" s="1"/>
  <c r="H165" i="12"/>
  <c r="N165" i="12" s="1"/>
  <c r="G167" i="12"/>
  <c r="O167" i="12" s="1"/>
  <c r="G166" i="12"/>
  <c r="O166" i="12" s="1"/>
  <c r="G165" i="12"/>
  <c r="O165" i="12" s="1"/>
  <c r="G164" i="12"/>
  <c r="O164" i="12" s="1"/>
  <c r="H151" i="12"/>
  <c r="N151" i="12" s="1"/>
  <c r="H155" i="12"/>
  <c r="N155" i="12" s="1"/>
  <c r="H141" i="12"/>
  <c r="N141" i="12" s="1"/>
  <c r="H140" i="12"/>
  <c r="N140" i="12" s="1"/>
  <c r="H124" i="12"/>
  <c r="N124" i="12" s="1"/>
  <c r="H128" i="12"/>
  <c r="N128" i="12" s="1"/>
  <c r="H114" i="12"/>
  <c r="N114" i="12" s="1"/>
  <c r="H99" i="12"/>
  <c r="N99" i="12" s="1"/>
  <c r="H82" i="12"/>
  <c r="N82" i="12" s="1"/>
  <c r="H86" i="12"/>
  <c r="N86" i="12" s="1"/>
  <c r="H64" i="12"/>
  <c r="N64" i="12" s="1"/>
  <c r="H68" i="12"/>
  <c r="N68" i="12" s="1"/>
  <c r="H72" i="12"/>
  <c r="N72" i="12" s="1"/>
  <c r="H50" i="12"/>
  <c r="N50" i="12" s="1"/>
  <c r="H44" i="12"/>
  <c r="N44" i="12" s="1"/>
  <c r="H32" i="12"/>
  <c r="N32" i="12" s="1"/>
  <c r="H152" i="12"/>
  <c r="N152" i="12" s="1"/>
  <c r="H156" i="12"/>
  <c r="N156" i="12" s="1"/>
  <c r="H142" i="12"/>
  <c r="N142" i="12" s="1"/>
  <c r="H134" i="12"/>
  <c r="N134" i="12" s="1"/>
  <c r="H125" i="12"/>
  <c r="N125" i="12" s="1"/>
  <c r="H121" i="12"/>
  <c r="N121" i="12" s="1"/>
  <c r="H115" i="12"/>
  <c r="N115" i="12" s="1"/>
  <c r="H93" i="12"/>
  <c r="N93" i="12" s="1"/>
  <c r="H83" i="12"/>
  <c r="N83" i="12" s="1"/>
  <c r="H87" i="12"/>
  <c r="N87" i="12" s="1"/>
  <c r="H65" i="12"/>
  <c r="N65" i="12" s="1"/>
  <c r="H69" i="12"/>
  <c r="N69" i="12" s="1"/>
  <c r="H73" i="12"/>
  <c r="O73" i="12" s="1"/>
  <c r="H41" i="12"/>
  <c r="N41" i="12" s="1"/>
  <c r="H40" i="12"/>
  <c r="N40" i="12" s="1"/>
  <c r="H25" i="12"/>
  <c r="H153" i="12"/>
  <c r="N153" i="12" s="1"/>
  <c r="H157" i="12"/>
  <c r="N157" i="12" s="1"/>
  <c r="H143" i="12"/>
  <c r="N143" i="12" s="1"/>
  <c r="H122" i="12"/>
  <c r="N122" i="12" s="1"/>
  <c r="H126" i="12"/>
  <c r="N126" i="12" s="1"/>
  <c r="H112" i="12"/>
  <c r="N112" i="12" s="1"/>
  <c r="H111" i="12"/>
  <c r="N111" i="12" s="1"/>
  <c r="H80" i="12"/>
  <c r="N80" i="12" s="1"/>
  <c r="H84" i="12"/>
  <c r="N84" i="12" s="1"/>
  <c r="H79" i="12"/>
  <c r="N79" i="12" s="1"/>
  <c r="H66" i="12"/>
  <c r="N66" i="12" s="1"/>
  <c r="H70" i="12"/>
  <c r="N70" i="12" s="1"/>
  <c r="H62" i="12"/>
  <c r="N62" i="12" s="1"/>
  <c r="H42" i="12"/>
  <c r="N42" i="12" s="1"/>
  <c r="H33" i="12"/>
  <c r="N33" i="12" s="1"/>
  <c r="H26" i="12"/>
  <c r="H154" i="12"/>
  <c r="N154" i="12" s="1"/>
  <c r="H150" i="12"/>
  <c r="N150" i="12" s="1"/>
  <c r="H144" i="12"/>
  <c r="N144" i="12" s="1"/>
  <c r="H123" i="12"/>
  <c r="N123" i="12" s="1"/>
  <c r="H127" i="12"/>
  <c r="N127" i="12" s="1"/>
  <c r="H113" i="12"/>
  <c r="N113" i="12" s="1"/>
  <c r="H105" i="12"/>
  <c r="N105" i="12" s="1"/>
  <c r="H81" i="12"/>
  <c r="N81" i="12" s="1"/>
  <c r="H85" i="12"/>
  <c r="N85" i="12" s="1"/>
  <c r="H63" i="12"/>
  <c r="N63" i="12" s="1"/>
  <c r="H67" i="12"/>
  <c r="N67" i="12" s="1"/>
  <c r="H71" i="12"/>
  <c r="N71" i="12" s="1"/>
  <c r="H56" i="12"/>
  <c r="N56" i="12" s="1"/>
  <c r="H43" i="12"/>
  <c r="N43" i="12" s="1"/>
  <c r="H34" i="12"/>
  <c r="N34" i="12" s="1"/>
  <c r="H24" i="12"/>
  <c r="D44" i="7"/>
  <c r="D45" i="7" s="1"/>
  <c r="H13" i="12"/>
  <c r="H17" i="12"/>
  <c r="H14" i="12"/>
  <c r="H18" i="12"/>
  <c r="H11" i="12"/>
  <c r="H15" i="12"/>
  <c r="H10" i="12"/>
  <c r="H12" i="12"/>
  <c r="H16" i="12"/>
  <c r="G151" i="12"/>
  <c r="G155" i="12"/>
  <c r="G141" i="12"/>
  <c r="G140" i="12"/>
  <c r="G124" i="12"/>
  <c r="G128" i="12"/>
  <c r="G114" i="12"/>
  <c r="G82" i="12"/>
  <c r="G68" i="12"/>
  <c r="G44" i="12"/>
  <c r="G32" i="12"/>
  <c r="G10" i="12"/>
  <c r="G134" i="12"/>
  <c r="G93" i="12"/>
  <c r="G87" i="12"/>
  <c r="G69" i="12"/>
  <c r="G41" i="12"/>
  <c r="G25" i="12"/>
  <c r="G16" i="12"/>
  <c r="G153" i="12"/>
  <c r="G157" i="12"/>
  <c r="G143" i="12"/>
  <c r="G122" i="12"/>
  <c r="G126" i="12"/>
  <c r="G112" i="12"/>
  <c r="G111" i="12"/>
  <c r="G80" i="12"/>
  <c r="G84" i="12"/>
  <c r="G79" i="12"/>
  <c r="G66" i="12"/>
  <c r="G70" i="12"/>
  <c r="G62" i="12"/>
  <c r="G42" i="12"/>
  <c r="G33" i="12"/>
  <c r="G26" i="12"/>
  <c r="G13" i="12"/>
  <c r="G17" i="12"/>
  <c r="G154" i="12"/>
  <c r="G150" i="12"/>
  <c r="G144" i="12"/>
  <c r="G123" i="12"/>
  <c r="G127" i="12"/>
  <c r="G113" i="12"/>
  <c r="G105" i="12"/>
  <c r="G81" i="12"/>
  <c r="G85" i="12"/>
  <c r="G63" i="12"/>
  <c r="G67" i="12"/>
  <c r="G71" i="12"/>
  <c r="G56" i="12"/>
  <c r="G43" i="12"/>
  <c r="G34" i="12"/>
  <c r="G24" i="12"/>
  <c r="G14" i="12"/>
  <c r="G18" i="12"/>
  <c r="G99" i="12"/>
  <c r="G86" i="12"/>
  <c r="G64" i="12"/>
  <c r="G72" i="12"/>
  <c r="G50" i="12"/>
  <c r="G11" i="12"/>
  <c r="G15" i="12"/>
  <c r="G152" i="12"/>
  <c r="G156" i="12"/>
  <c r="G142" i="12"/>
  <c r="G125" i="12"/>
  <c r="G121" i="12"/>
  <c r="G115" i="12"/>
  <c r="G83" i="12"/>
  <c r="G65" i="12"/>
  <c r="G73" i="12"/>
  <c r="G40" i="12"/>
  <c r="G12" i="12"/>
  <c r="D28" i="7"/>
  <c r="E45" i="7"/>
  <c r="M13" i="7"/>
  <c r="M19" i="7"/>
  <c r="M18" i="7"/>
  <c r="M17" i="7"/>
  <c r="M14" i="7"/>
  <c r="M15" i="7"/>
  <c r="M11" i="7"/>
  <c r="M21" i="7"/>
  <c r="M20" i="7"/>
  <c r="M16" i="7"/>
  <c r="M12" i="7"/>
  <c r="P164" i="12" l="1"/>
  <c r="Q164" i="12" s="1"/>
  <c r="P166" i="12"/>
  <c r="R166" i="12" s="1"/>
  <c r="T166" i="12" s="1"/>
  <c r="P167" i="12"/>
  <c r="W167" i="12" s="1"/>
  <c r="P165" i="12"/>
  <c r="R165" i="12" s="1"/>
  <c r="T165" i="12" s="1"/>
  <c r="N21" i="7"/>
  <c r="O21" i="7" s="1"/>
  <c r="N17" i="7"/>
  <c r="O17" i="7" s="1"/>
  <c r="N12" i="7"/>
  <c r="O12" i="7" s="1"/>
  <c r="N11" i="7"/>
  <c r="O11" i="7" s="1"/>
  <c r="N18" i="7"/>
  <c r="O18" i="7" s="1"/>
  <c r="N13" i="7"/>
  <c r="O13" i="7" s="1"/>
  <c r="N16" i="7"/>
  <c r="O16" i="7" s="1"/>
  <c r="N15" i="7"/>
  <c r="O15" i="7" s="1"/>
  <c r="D30" i="7"/>
  <c r="N20" i="7"/>
  <c r="O20" i="7" s="1"/>
  <c r="N14" i="7"/>
  <c r="O14" i="7" s="1"/>
  <c r="N19" i="7"/>
  <c r="O19" i="7" s="1"/>
  <c r="O154" i="12"/>
  <c r="P154" i="12" s="1"/>
  <c r="O141" i="12"/>
  <c r="P141" i="12" s="1"/>
  <c r="O122" i="12"/>
  <c r="P122" i="12" s="1"/>
  <c r="O126" i="12"/>
  <c r="P126" i="12" s="1"/>
  <c r="O113" i="12"/>
  <c r="P113" i="12" s="1"/>
  <c r="O140" i="12"/>
  <c r="P140" i="12" s="1"/>
  <c r="O105" i="12"/>
  <c r="P105" i="12" s="1"/>
  <c r="O81" i="12"/>
  <c r="P81" i="12" s="1"/>
  <c r="O85" i="12"/>
  <c r="P85" i="12" s="1"/>
  <c r="O63" i="12"/>
  <c r="P63" i="12" s="1"/>
  <c r="O67" i="12"/>
  <c r="P67" i="12" s="1"/>
  <c r="O71" i="12"/>
  <c r="P71" i="12" s="1"/>
  <c r="O56" i="12"/>
  <c r="P56" i="12" s="1"/>
  <c r="O43" i="12"/>
  <c r="P43" i="12" s="1"/>
  <c r="O34" i="12"/>
  <c r="P34" i="12" s="1"/>
  <c r="P24" i="12"/>
  <c r="P14" i="12"/>
  <c r="P18" i="12"/>
  <c r="O152" i="12"/>
  <c r="P152" i="12" s="1"/>
  <c r="O128" i="12"/>
  <c r="P128" i="12" s="1"/>
  <c r="O121" i="12"/>
  <c r="P121" i="12" s="1"/>
  <c r="O87" i="12"/>
  <c r="P87" i="12" s="1"/>
  <c r="O40" i="12"/>
  <c r="P40" i="12" s="1"/>
  <c r="P12" i="12"/>
  <c r="O157" i="12"/>
  <c r="P157" i="12" s="1"/>
  <c r="O112" i="12"/>
  <c r="P112" i="12" s="1"/>
  <c r="O111" i="12"/>
  <c r="P111" i="12" s="1"/>
  <c r="O84" i="12"/>
  <c r="P84" i="12" s="1"/>
  <c r="O70" i="12"/>
  <c r="P70" i="12" s="1"/>
  <c r="O42" i="12"/>
  <c r="P42" i="12" s="1"/>
  <c r="P26" i="12"/>
  <c r="P17" i="12"/>
  <c r="O151" i="12"/>
  <c r="P151" i="12" s="1"/>
  <c r="O155" i="12"/>
  <c r="P155" i="12" s="1"/>
  <c r="O142" i="12"/>
  <c r="P142" i="12" s="1"/>
  <c r="O123" i="12"/>
  <c r="P123" i="12" s="1"/>
  <c r="O127" i="12"/>
  <c r="P127" i="12" s="1"/>
  <c r="O114" i="12"/>
  <c r="P114" i="12" s="1"/>
  <c r="O134" i="12"/>
  <c r="P134" i="12" s="1"/>
  <c r="O99" i="12"/>
  <c r="P99" i="12" s="1"/>
  <c r="O82" i="12"/>
  <c r="P82" i="12" s="1"/>
  <c r="O86" i="12"/>
  <c r="P86" i="12" s="1"/>
  <c r="O64" i="12"/>
  <c r="P64" i="12" s="1"/>
  <c r="O68" i="12"/>
  <c r="P68" i="12" s="1"/>
  <c r="O72" i="12"/>
  <c r="P72" i="12" s="1"/>
  <c r="O50" i="12"/>
  <c r="P50" i="12" s="1"/>
  <c r="O44" i="12"/>
  <c r="P44" i="12" s="1"/>
  <c r="O32" i="12"/>
  <c r="P32" i="12" s="1"/>
  <c r="P11" i="12"/>
  <c r="P15" i="12"/>
  <c r="P10" i="12"/>
  <c r="O156" i="12"/>
  <c r="P156" i="12" s="1"/>
  <c r="O143" i="12"/>
  <c r="P143" i="12" s="1"/>
  <c r="O124" i="12"/>
  <c r="P124" i="12" s="1"/>
  <c r="O115" i="12"/>
  <c r="P115" i="12" s="1"/>
  <c r="O93" i="12"/>
  <c r="P93" i="12" s="1"/>
  <c r="O83" i="12"/>
  <c r="P83" i="12" s="1"/>
  <c r="O65" i="12"/>
  <c r="P65" i="12" s="1"/>
  <c r="O69" i="12"/>
  <c r="P69" i="12" s="1"/>
  <c r="O41" i="12"/>
  <c r="P41" i="12" s="1"/>
  <c r="P25" i="12"/>
  <c r="P16" i="12"/>
  <c r="O153" i="12"/>
  <c r="P153" i="12" s="1"/>
  <c r="O144" i="12"/>
  <c r="P144" i="12" s="1"/>
  <c r="O125" i="12"/>
  <c r="P125" i="12" s="1"/>
  <c r="O150" i="12"/>
  <c r="P150" i="12" s="1"/>
  <c r="O80" i="12"/>
  <c r="P80" i="12" s="1"/>
  <c r="O79" i="12"/>
  <c r="P79" i="12" s="1"/>
  <c r="O66" i="12"/>
  <c r="P66" i="12" s="1"/>
  <c r="O62" i="12"/>
  <c r="P62" i="12" s="1"/>
  <c r="O33" i="12"/>
  <c r="P33" i="12" s="1"/>
  <c r="P13" i="12"/>
  <c r="Q167" i="12" l="1"/>
  <c r="AE167" i="12" s="1"/>
  <c r="AF167" i="12" s="1"/>
  <c r="W164" i="12"/>
  <c r="Y164" i="12" s="1"/>
  <c r="AA164" i="12" s="1"/>
  <c r="AC164" i="12" s="1"/>
  <c r="R164" i="12"/>
  <c r="T164" i="12" s="1"/>
  <c r="W165" i="12"/>
  <c r="Y165" i="12" s="1"/>
  <c r="AA165" i="12" s="1"/>
  <c r="AC165" i="12" s="1"/>
  <c r="R167" i="12"/>
  <c r="T167" i="12" s="1"/>
  <c r="Q165" i="12"/>
  <c r="AE165" i="12" s="1"/>
  <c r="AF165" i="12" s="1"/>
  <c r="K10" i="2"/>
  <c r="W166" i="12"/>
  <c r="X166" i="12" s="1"/>
  <c r="Z166" i="12" s="1"/>
  <c r="AB166" i="12" s="1"/>
  <c r="AD166" i="12" s="1"/>
  <c r="Q166" i="12"/>
  <c r="AE166" i="12" s="1"/>
  <c r="AF166" i="12" s="1"/>
  <c r="AE164" i="12"/>
  <c r="AF164" i="12" s="1"/>
  <c r="S164" i="12"/>
  <c r="U164" i="12" s="1"/>
  <c r="S167" i="12"/>
  <c r="U167" i="12" s="1"/>
  <c r="Y167" i="12"/>
  <c r="AA167" i="12" s="1"/>
  <c r="AC167" i="12" s="1"/>
  <c r="X167" i="12"/>
  <c r="Z167" i="12" s="1"/>
  <c r="AB167" i="12" s="1"/>
  <c r="AD167" i="12" s="1"/>
  <c r="P20" i="7"/>
  <c r="T20" i="7" s="1"/>
  <c r="U20" i="7" s="1"/>
  <c r="Q20" i="7"/>
  <c r="P13" i="7"/>
  <c r="T13" i="7" s="1"/>
  <c r="U13" i="7" s="1"/>
  <c r="Q13" i="7"/>
  <c r="P19" i="7"/>
  <c r="T19" i="7" s="1"/>
  <c r="U19" i="7" s="1"/>
  <c r="Q19" i="7"/>
  <c r="P15" i="7"/>
  <c r="T15" i="7" s="1"/>
  <c r="U15" i="7" s="1"/>
  <c r="Q15" i="7"/>
  <c r="P11" i="7"/>
  <c r="T11" i="7" s="1"/>
  <c r="U11" i="7" s="1"/>
  <c r="Q11" i="7"/>
  <c r="P14" i="7"/>
  <c r="T14" i="7" s="1"/>
  <c r="U14" i="7" s="1"/>
  <c r="Q14" i="7"/>
  <c r="P16" i="7"/>
  <c r="T16" i="7" s="1"/>
  <c r="U16" i="7" s="1"/>
  <c r="Q16" i="7"/>
  <c r="P12" i="7"/>
  <c r="T12" i="7" s="1"/>
  <c r="U12" i="7" s="1"/>
  <c r="Q12" i="7"/>
  <c r="P17" i="7"/>
  <c r="T17" i="7" s="1"/>
  <c r="U17" i="7" s="1"/>
  <c r="Q17" i="7"/>
  <c r="D32" i="7"/>
  <c r="P18" i="7"/>
  <c r="T18" i="7" s="1"/>
  <c r="U18" i="7" s="1"/>
  <c r="Q18" i="7"/>
  <c r="P21" i="7"/>
  <c r="T21" i="7" s="1"/>
  <c r="U21" i="7" s="1"/>
  <c r="Q21" i="7"/>
  <c r="W80" i="12"/>
  <c r="Q80" i="12"/>
  <c r="R80" i="12"/>
  <c r="T80" i="12" s="1"/>
  <c r="W69" i="12"/>
  <c r="Q69" i="12"/>
  <c r="R69" i="12"/>
  <c r="T69" i="12" s="1"/>
  <c r="W115" i="12"/>
  <c r="Q115" i="12"/>
  <c r="R115" i="12"/>
  <c r="T115" i="12" s="1"/>
  <c r="Q44" i="12"/>
  <c r="W44" i="12"/>
  <c r="R44" i="12"/>
  <c r="T44" i="12" s="1"/>
  <c r="Q64" i="12"/>
  <c r="W64" i="12"/>
  <c r="R64" i="12"/>
  <c r="T64" i="12" s="1"/>
  <c r="R134" i="12"/>
  <c r="T134" i="12" s="1"/>
  <c r="W134" i="12"/>
  <c r="Q134" i="12"/>
  <c r="W142" i="12"/>
  <c r="R142" i="12"/>
  <c r="T142" i="12" s="1"/>
  <c r="Q142" i="12"/>
  <c r="W111" i="12"/>
  <c r="Q111" i="12"/>
  <c r="R111" i="12"/>
  <c r="T111" i="12" s="1"/>
  <c r="Q24" i="12"/>
  <c r="W24" i="12"/>
  <c r="R24" i="12"/>
  <c r="T24" i="12" s="1"/>
  <c r="W81" i="12"/>
  <c r="Q81" i="12"/>
  <c r="R81" i="12"/>
  <c r="T81" i="12" s="1"/>
  <c r="R62" i="12"/>
  <c r="T62" i="12" s="1"/>
  <c r="Q62" i="12"/>
  <c r="W62" i="12"/>
  <c r="Q16" i="12"/>
  <c r="W16" i="12"/>
  <c r="R16" i="12"/>
  <c r="T16" i="12" s="1"/>
  <c r="Q124" i="12"/>
  <c r="W124" i="12"/>
  <c r="R124" i="12"/>
  <c r="T124" i="12" s="1"/>
  <c r="Q50" i="12"/>
  <c r="W50" i="12"/>
  <c r="R50" i="12"/>
  <c r="T50" i="12" s="1"/>
  <c r="R114" i="12"/>
  <c r="T114" i="12" s="1"/>
  <c r="Q114" i="12"/>
  <c r="W114" i="12"/>
  <c r="Q112" i="12"/>
  <c r="W112" i="12"/>
  <c r="R112" i="12"/>
  <c r="T112" i="12" s="1"/>
  <c r="Q34" i="12"/>
  <c r="W34" i="12"/>
  <c r="R34" i="12"/>
  <c r="T34" i="12" s="1"/>
  <c r="R105" i="12"/>
  <c r="W105" i="12"/>
  <c r="Q105" i="12"/>
  <c r="AE105" i="12" s="1"/>
  <c r="AF105" i="12" s="1"/>
  <c r="Q66" i="12"/>
  <c r="W66" i="12"/>
  <c r="R66" i="12"/>
  <c r="T66" i="12" s="1"/>
  <c r="W125" i="12"/>
  <c r="Q125" i="12"/>
  <c r="R125" i="12"/>
  <c r="T125" i="12" s="1"/>
  <c r="Q25" i="12"/>
  <c r="R25" i="12"/>
  <c r="T25" i="12" s="1"/>
  <c r="W25" i="12"/>
  <c r="R83" i="12"/>
  <c r="T83" i="12" s="1"/>
  <c r="Q83" i="12"/>
  <c r="W83" i="12"/>
  <c r="R143" i="12"/>
  <c r="T143" i="12" s="1"/>
  <c r="W143" i="12"/>
  <c r="Q143" i="12"/>
  <c r="W11" i="12"/>
  <c r="Q11" i="12"/>
  <c r="R11" i="12"/>
  <c r="T11" i="12" s="1"/>
  <c r="W72" i="12"/>
  <c r="R72" i="12"/>
  <c r="T72" i="12" s="1"/>
  <c r="Q72" i="12"/>
  <c r="W82" i="12"/>
  <c r="Q82" i="12"/>
  <c r="R82" i="12"/>
  <c r="T82" i="12" s="1"/>
  <c r="Q127" i="12"/>
  <c r="W127" i="12"/>
  <c r="R127" i="12"/>
  <c r="T127" i="12" s="1"/>
  <c r="R151" i="12"/>
  <c r="T151" i="12" s="1"/>
  <c r="W151" i="12"/>
  <c r="Q151" i="12"/>
  <c r="R70" i="12"/>
  <c r="T70" i="12" s="1"/>
  <c r="W70" i="12"/>
  <c r="Q70" i="12"/>
  <c r="Q157" i="12"/>
  <c r="W157" i="12"/>
  <c r="R157" i="12"/>
  <c r="T157" i="12" s="1"/>
  <c r="W87" i="12"/>
  <c r="Q87" i="12"/>
  <c r="R87" i="12"/>
  <c r="T87" i="12" s="1"/>
  <c r="W18" i="12"/>
  <c r="R18" i="12"/>
  <c r="T18" i="12" s="1"/>
  <c r="Q18" i="12"/>
  <c r="Q43" i="12"/>
  <c r="W43" i="12"/>
  <c r="R43" i="12"/>
  <c r="T43" i="12" s="1"/>
  <c r="Q63" i="12"/>
  <c r="W63" i="12"/>
  <c r="R63" i="12"/>
  <c r="T63" i="12" s="1"/>
  <c r="Q140" i="12"/>
  <c r="R140" i="12"/>
  <c r="T140" i="12" s="1"/>
  <c r="W140" i="12"/>
  <c r="R141" i="12"/>
  <c r="T141" i="12" s="1"/>
  <c r="W141" i="12"/>
  <c r="Q141" i="12"/>
  <c r="W33" i="12"/>
  <c r="Q33" i="12"/>
  <c r="R33" i="12"/>
  <c r="T33" i="12" s="1"/>
  <c r="W153" i="12"/>
  <c r="R153" i="12"/>
  <c r="T153" i="12" s="1"/>
  <c r="Q153" i="12"/>
  <c r="Q10" i="12"/>
  <c r="R10" i="12"/>
  <c r="T10" i="12" s="1"/>
  <c r="W10" i="12"/>
  <c r="Q26" i="12"/>
  <c r="R26" i="12"/>
  <c r="T26" i="12" s="1"/>
  <c r="W26" i="12"/>
  <c r="Q40" i="12"/>
  <c r="R40" i="12"/>
  <c r="T40" i="12" s="1"/>
  <c r="W40" i="12"/>
  <c r="W128" i="12"/>
  <c r="R128" i="12"/>
  <c r="T128" i="12" s="1"/>
  <c r="Q128" i="12"/>
  <c r="W71" i="12"/>
  <c r="Q71" i="12"/>
  <c r="R71" i="12"/>
  <c r="T71" i="12" s="1"/>
  <c r="Q126" i="12"/>
  <c r="W126" i="12"/>
  <c r="R126" i="12"/>
  <c r="T126" i="12" s="1"/>
  <c r="Q150" i="12"/>
  <c r="W150" i="12"/>
  <c r="R150" i="12"/>
  <c r="T150" i="12" s="1"/>
  <c r="R65" i="12"/>
  <c r="T65" i="12" s="1"/>
  <c r="Q65" i="12"/>
  <c r="W65" i="12"/>
  <c r="W15" i="12"/>
  <c r="R15" i="12"/>
  <c r="T15" i="12" s="1"/>
  <c r="Q15" i="12"/>
  <c r="R86" i="12"/>
  <c r="T86" i="12" s="1"/>
  <c r="W86" i="12"/>
  <c r="Q86" i="12"/>
  <c r="Q155" i="12"/>
  <c r="W155" i="12"/>
  <c r="R155" i="12"/>
  <c r="T155" i="12" s="1"/>
  <c r="Q42" i="12"/>
  <c r="R42" i="12"/>
  <c r="T42" i="12" s="1"/>
  <c r="W42" i="12"/>
  <c r="N73" i="12"/>
  <c r="M73" i="12"/>
  <c r="W152" i="12"/>
  <c r="Q152" i="12"/>
  <c r="R152" i="12"/>
  <c r="T152" i="12" s="1"/>
  <c r="R67" i="12"/>
  <c r="T67" i="12" s="1"/>
  <c r="W67" i="12"/>
  <c r="Q67" i="12"/>
  <c r="Q122" i="12"/>
  <c r="R122" i="12"/>
  <c r="T122" i="12" s="1"/>
  <c r="W122" i="12"/>
  <c r="R13" i="12"/>
  <c r="T13" i="12" s="1"/>
  <c r="W13" i="12"/>
  <c r="Q13" i="12"/>
  <c r="R79" i="12"/>
  <c r="T79" i="12" s="1"/>
  <c r="W79" i="12"/>
  <c r="Q79" i="12"/>
  <c r="Q144" i="12"/>
  <c r="R144" i="12"/>
  <c r="T144" i="12" s="1"/>
  <c r="W144" i="12"/>
  <c r="R41" i="12"/>
  <c r="T41" i="12" s="1"/>
  <c r="W41" i="12"/>
  <c r="Q41" i="12"/>
  <c r="W93" i="12"/>
  <c r="R93" i="12"/>
  <c r="T93" i="12" s="1"/>
  <c r="Q93" i="12"/>
  <c r="W156" i="12"/>
  <c r="Q156" i="12"/>
  <c r="R156" i="12"/>
  <c r="T156" i="12" s="1"/>
  <c r="R32" i="12"/>
  <c r="T32" i="12" s="1"/>
  <c r="W32" i="12"/>
  <c r="Q32" i="12"/>
  <c r="R68" i="12"/>
  <c r="T68" i="12" s="1"/>
  <c r="W68" i="12"/>
  <c r="Q68" i="12"/>
  <c r="Q99" i="12"/>
  <c r="R99" i="12"/>
  <c r="T99" i="12" s="1"/>
  <c r="W99" i="12"/>
  <c r="Q123" i="12"/>
  <c r="W123" i="12"/>
  <c r="R123" i="12"/>
  <c r="T123" i="12" s="1"/>
  <c r="Q17" i="12"/>
  <c r="R17" i="12"/>
  <c r="T17" i="12" s="1"/>
  <c r="W17" i="12"/>
  <c r="W84" i="12"/>
  <c r="Q84" i="12"/>
  <c r="R84" i="12"/>
  <c r="T84" i="12" s="1"/>
  <c r="W12" i="12"/>
  <c r="R12" i="12"/>
  <c r="T12" i="12" s="1"/>
  <c r="Q12" i="12"/>
  <c r="Q121" i="12"/>
  <c r="R121" i="12"/>
  <c r="T121" i="12" s="1"/>
  <c r="W121" i="12"/>
  <c r="Q14" i="12"/>
  <c r="R14" i="12"/>
  <c r="T14" i="12" s="1"/>
  <c r="W14" i="12"/>
  <c r="Q56" i="12"/>
  <c r="W56" i="12"/>
  <c r="R56" i="12"/>
  <c r="T56" i="12" s="1"/>
  <c r="Q85" i="12"/>
  <c r="R85" i="12"/>
  <c r="T85" i="12" s="1"/>
  <c r="W85" i="12"/>
  <c r="W113" i="12"/>
  <c r="Q113" i="12"/>
  <c r="R113" i="12"/>
  <c r="T113" i="12" s="1"/>
  <c r="Q154" i="12"/>
  <c r="R154" i="12"/>
  <c r="T154" i="12" s="1"/>
  <c r="W154" i="12"/>
  <c r="S165" i="12" l="1"/>
  <c r="U165" i="12" s="1"/>
  <c r="X164" i="12"/>
  <c r="Z164" i="12" s="1"/>
  <c r="AB164" i="12" s="1"/>
  <c r="AD164" i="12" s="1"/>
  <c r="Y166" i="12"/>
  <c r="AA166" i="12" s="1"/>
  <c r="AC166" i="12" s="1"/>
  <c r="X165" i="12"/>
  <c r="Z165" i="12" s="1"/>
  <c r="AB165" i="12" s="1"/>
  <c r="AD165" i="12" s="1"/>
  <c r="K15" i="2"/>
  <c r="S166" i="12"/>
  <c r="U166" i="12" s="1"/>
  <c r="D36" i="7"/>
  <c r="D42" i="7" s="1"/>
  <c r="D47" i="7"/>
  <c r="R21" i="7"/>
  <c r="AG21" i="7" s="1"/>
  <c r="R12" i="7"/>
  <c r="AG12" i="7" s="1"/>
  <c r="R14" i="7"/>
  <c r="AG14" i="7" s="1"/>
  <c r="R15" i="7"/>
  <c r="AG15" i="7" s="1"/>
  <c r="R18" i="7"/>
  <c r="AG18" i="7" s="1"/>
  <c r="R17" i="7"/>
  <c r="AG17" i="7" s="1"/>
  <c r="R13" i="7"/>
  <c r="AG13" i="7" s="1"/>
  <c r="R16" i="7"/>
  <c r="AG16" i="7" s="1"/>
  <c r="R11" i="7"/>
  <c r="AG11" i="7" s="1"/>
  <c r="R19" i="7"/>
  <c r="AG19" i="7" s="1"/>
  <c r="R20" i="7"/>
  <c r="AG20" i="7" s="1"/>
  <c r="P73" i="12"/>
  <c r="AE56" i="12"/>
  <c r="AF56" i="12" s="1"/>
  <c r="S56" i="12"/>
  <c r="U56" i="12" s="1"/>
  <c r="Y121" i="12"/>
  <c r="AA121" i="12" s="1"/>
  <c r="AC121" i="12" s="1"/>
  <c r="X121" i="12"/>
  <c r="Z121" i="12" s="1"/>
  <c r="AB121" i="12" s="1"/>
  <c r="AD121" i="12" s="1"/>
  <c r="Y84" i="12"/>
  <c r="AA84" i="12" s="1"/>
  <c r="AC84" i="12" s="1"/>
  <c r="X84" i="12"/>
  <c r="Z84" i="12" s="1"/>
  <c r="AB84" i="12" s="1"/>
  <c r="AD84" i="12" s="1"/>
  <c r="AE79" i="12"/>
  <c r="AF79" i="12" s="1"/>
  <c r="S79" i="12"/>
  <c r="U79" i="12" s="1"/>
  <c r="Y13" i="12"/>
  <c r="AA13" i="12" s="1"/>
  <c r="AC13" i="12" s="1"/>
  <c r="X13" i="12"/>
  <c r="Z13" i="12" s="1"/>
  <c r="AB13" i="12" s="1"/>
  <c r="AD13" i="12" s="1"/>
  <c r="S122" i="12"/>
  <c r="U122" i="12" s="1"/>
  <c r="AE122" i="12"/>
  <c r="AF122" i="12" s="1"/>
  <c r="Y86" i="12"/>
  <c r="AA86" i="12" s="1"/>
  <c r="AC86" i="12" s="1"/>
  <c r="X86" i="12"/>
  <c r="Z86" i="12" s="1"/>
  <c r="AB86" i="12" s="1"/>
  <c r="AD86" i="12" s="1"/>
  <c r="X15" i="12"/>
  <c r="Z15" i="12" s="1"/>
  <c r="AB15" i="12" s="1"/>
  <c r="AD15" i="12" s="1"/>
  <c r="Y15" i="12"/>
  <c r="AA15" i="12" s="1"/>
  <c r="AC15" i="12" s="1"/>
  <c r="X126" i="12"/>
  <c r="Z126" i="12" s="1"/>
  <c r="AB126" i="12" s="1"/>
  <c r="AD126" i="12" s="1"/>
  <c r="Y126" i="12"/>
  <c r="AA126" i="12" s="1"/>
  <c r="AC126" i="12" s="1"/>
  <c r="Y71" i="12"/>
  <c r="AA71" i="12" s="1"/>
  <c r="AC71" i="12" s="1"/>
  <c r="X71" i="12"/>
  <c r="Z71" i="12" s="1"/>
  <c r="AB71" i="12" s="1"/>
  <c r="AD71" i="12" s="1"/>
  <c r="X40" i="12"/>
  <c r="Z40" i="12" s="1"/>
  <c r="AB40" i="12" s="1"/>
  <c r="AD40" i="12" s="1"/>
  <c r="Y40" i="12"/>
  <c r="AA40" i="12" s="1"/>
  <c r="AC40" i="12" s="1"/>
  <c r="AE10" i="12"/>
  <c r="AF10" i="12" s="1"/>
  <c r="S10" i="12"/>
  <c r="U10" i="12" s="1"/>
  <c r="Y141" i="12"/>
  <c r="AA141" i="12" s="1"/>
  <c r="AC141" i="12" s="1"/>
  <c r="X141" i="12"/>
  <c r="Z141" i="12" s="1"/>
  <c r="AB141" i="12" s="1"/>
  <c r="AD141" i="12" s="1"/>
  <c r="S140" i="12"/>
  <c r="U140" i="12" s="1"/>
  <c r="AE140" i="12"/>
  <c r="AF140" i="12" s="1"/>
  <c r="Y87" i="12"/>
  <c r="AA87" i="12" s="1"/>
  <c r="AC87" i="12" s="1"/>
  <c r="X87" i="12"/>
  <c r="Z87" i="12" s="1"/>
  <c r="AB87" i="12" s="1"/>
  <c r="AD87" i="12" s="1"/>
  <c r="S70" i="12"/>
  <c r="U70" i="12" s="1"/>
  <c r="AE70" i="12"/>
  <c r="AF70" i="12" s="1"/>
  <c r="Y151" i="12"/>
  <c r="AA151" i="12" s="1"/>
  <c r="AC151" i="12" s="1"/>
  <c r="X151" i="12"/>
  <c r="Z151" i="12" s="1"/>
  <c r="AB151" i="12" s="1"/>
  <c r="AD151" i="12" s="1"/>
  <c r="AE127" i="12"/>
  <c r="AF127" i="12" s="1"/>
  <c r="S127" i="12"/>
  <c r="U127" i="12" s="1"/>
  <c r="AE72" i="12"/>
  <c r="AF72" i="12" s="1"/>
  <c r="S72" i="12"/>
  <c r="U72" i="12" s="1"/>
  <c r="AE11" i="12"/>
  <c r="AF11" i="12" s="1"/>
  <c r="S11" i="12"/>
  <c r="U11" i="12" s="1"/>
  <c r="Y25" i="12"/>
  <c r="AA25" i="12" s="1"/>
  <c r="AC25" i="12" s="1"/>
  <c r="X25" i="12"/>
  <c r="Z25" i="12" s="1"/>
  <c r="AB25" i="12" s="1"/>
  <c r="AD25" i="12" s="1"/>
  <c r="AE125" i="12"/>
  <c r="AF125" i="12" s="1"/>
  <c r="S125" i="12"/>
  <c r="U125" i="12" s="1"/>
  <c r="T105" i="12"/>
  <c r="S105" i="12"/>
  <c r="U105" i="12" s="1"/>
  <c r="AE114" i="12"/>
  <c r="AF114" i="12" s="1"/>
  <c r="S114" i="12"/>
  <c r="U114" i="12" s="1"/>
  <c r="AE50" i="12"/>
  <c r="AF50" i="12" s="1"/>
  <c r="S50" i="12"/>
  <c r="U50" i="12" s="1"/>
  <c r="AE62" i="12"/>
  <c r="AF62" i="12" s="1"/>
  <c r="S62" i="12"/>
  <c r="U62" i="12" s="1"/>
  <c r="Y81" i="12"/>
  <c r="AA81" i="12" s="1"/>
  <c r="AC81" i="12" s="1"/>
  <c r="X81" i="12"/>
  <c r="Z81" i="12" s="1"/>
  <c r="AB81" i="12" s="1"/>
  <c r="AD81" i="12" s="1"/>
  <c r="AE115" i="12"/>
  <c r="AF115" i="12" s="1"/>
  <c r="S115" i="12"/>
  <c r="U115" i="12" s="1"/>
  <c r="Y69" i="12"/>
  <c r="AA69" i="12" s="1"/>
  <c r="AC69" i="12" s="1"/>
  <c r="X69" i="12"/>
  <c r="Z69" i="12" s="1"/>
  <c r="AB69" i="12" s="1"/>
  <c r="AD69" i="12" s="1"/>
  <c r="Y154" i="12"/>
  <c r="AA154" i="12" s="1"/>
  <c r="AC154" i="12" s="1"/>
  <c r="X154" i="12"/>
  <c r="Z154" i="12" s="1"/>
  <c r="AB154" i="12" s="1"/>
  <c r="AD154" i="12" s="1"/>
  <c r="S113" i="12"/>
  <c r="U113" i="12" s="1"/>
  <c r="AE113" i="12"/>
  <c r="AF113" i="12" s="1"/>
  <c r="AE85" i="12"/>
  <c r="AF85" i="12" s="1"/>
  <c r="S85" i="12"/>
  <c r="U85" i="12" s="1"/>
  <c r="Y14" i="12"/>
  <c r="AA14" i="12" s="1"/>
  <c r="AC14" i="12" s="1"/>
  <c r="X14" i="12"/>
  <c r="Z14" i="12" s="1"/>
  <c r="AB14" i="12" s="1"/>
  <c r="AD14" i="12" s="1"/>
  <c r="Y12" i="12"/>
  <c r="AA12" i="12" s="1"/>
  <c r="AC12" i="12" s="1"/>
  <c r="X12" i="12"/>
  <c r="Z12" i="12" s="1"/>
  <c r="AB12" i="12" s="1"/>
  <c r="AD12" i="12" s="1"/>
  <c r="X17" i="12"/>
  <c r="Z17" i="12" s="1"/>
  <c r="AB17" i="12" s="1"/>
  <c r="AD17" i="12" s="1"/>
  <c r="Y17" i="12"/>
  <c r="AA17" i="12" s="1"/>
  <c r="AC17" i="12" s="1"/>
  <c r="X123" i="12"/>
  <c r="Z123" i="12" s="1"/>
  <c r="AB123" i="12" s="1"/>
  <c r="AD123" i="12" s="1"/>
  <c r="Y123" i="12"/>
  <c r="AA123" i="12" s="1"/>
  <c r="AC123" i="12" s="1"/>
  <c r="AE99" i="12"/>
  <c r="AF99" i="12" s="1"/>
  <c r="S99" i="12"/>
  <c r="U99" i="12" s="1"/>
  <c r="AE32" i="12"/>
  <c r="AF32" i="12" s="1"/>
  <c r="S32" i="12"/>
  <c r="U32" i="12" s="1"/>
  <c r="AE156" i="12"/>
  <c r="AF156" i="12" s="1"/>
  <c r="S156" i="12"/>
  <c r="U156" i="12" s="1"/>
  <c r="Y93" i="12"/>
  <c r="AA93" i="12" s="1"/>
  <c r="AC93" i="12" s="1"/>
  <c r="X93" i="12"/>
  <c r="Z93" i="12" s="1"/>
  <c r="AB93" i="12" s="1"/>
  <c r="AD93" i="12" s="1"/>
  <c r="X144" i="12"/>
  <c r="Z144" i="12" s="1"/>
  <c r="AB144" i="12" s="1"/>
  <c r="AD144" i="12" s="1"/>
  <c r="Y144" i="12"/>
  <c r="AA144" i="12" s="1"/>
  <c r="AC144" i="12" s="1"/>
  <c r="X79" i="12"/>
  <c r="Z79" i="12" s="1"/>
  <c r="AB79" i="12" s="1"/>
  <c r="AD79" i="12" s="1"/>
  <c r="Y79" i="12"/>
  <c r="AA79" i="12" s="1"/>
  <c r="AC79" i="12" s="1"/>
  <c r="S67" i="12"/>
  <c r="U67" i="12" s="1"/>
  <c r="AE67" i="12"/>
  <c r="AF67" i="12" s="1"/>
  <c r="AE152" i="12"/>
  <c r="AF152" i="12" s="1"/>
  <c r="S152" i="12"/>
  <c r="U152" i="12" s="1"/>
  <c r="Y42" i="12"/>
  <c r="AA42" i="12" s="1"/>
  <c r="AC42" i="12" s="1"/>
  <c r="X42" i="12"/>
  <c r="Z42" i="12" s="1"/>
  <c r="AB42" i="12" s="1"/>
  <c r="AD42" i="12" s="1"/>
  <c r="Y155" i="12"/>
  <c r="AA155" i="12" s="1"/>
  <c r="AC155" i="12" s="1"/>
  <c r="X155" i="12"/>
  <c r="Z155" i="12" s="1"/>
  <c r="AB155" i="12" s="1"/>
  <c r="AD155" i="12" s="1"/>
  <c r="X65" i="12"/>
  <c r="Z65" i="12" s="1"/>
  <c r="AB65" i="12" s="1"/>
  <c r="AD65" i="12" s="1"/>
  <c r="Y65" i="12"/>
  <c r="AA65" i="12" s="1"/>
  <c r="AC65" i="12" s="1"/>
  <c r="X150" i="12"/>
  <c r="Z150" i="12" s="1"/>
  <c r="AB150" i="12" s="1"/>
  <c r="AD150" i="12" s="1"/>
  <c r="Y150" i="12"/>
  <c r="AA150" i="12" s="1"/>
  <c r="AC150" i="12" s="1"/>
  <c r="S126" i="12"/>
  <c r="U126" i="12" s="1"/>
  <c r="AE126" i="12"/>
  <c r="AF126" i="12" s="1"/>
  <c r="AE128" i="12"/>
  <c r="AF128" i="12" s="1"/>
  <c r="S128" i="12"/>
  <c r="U128" i="12" s="1"/>
  <c r="S26" i="12"/>
  <c r="U26" i="12" s="1"/>
  <c r="AE26" i="12"/>
  <c r="AF26" i="12" s="1"/>
  <c r="S153" i="12"/>
  <c r="U153" i="12" s="1"/>
  <c r="AE153" i="12"/>
  <c r="AF153" i="12" s="1"/>
  <c r="AE33" i="12"/>
  <c r="AF33" i="12" s="1"/>
  <c r="S33" i="12"/>
  <c r="U33" i="12" s="1"/>
  <c r="X43" i="12"/>
  <c r="Z43" i="12" s="1"/>
  <c r="AB43" i="12" s="1"/>
  <c r="AD43" i="12" s="1"/>
  <c r="Y43" i="12"/>
  <c r="AA43" i="12" s="1"/>
  <c r="AC43" i="12" s="1"/>
  <c r="X18" i="12"/>
  <c r="Z18" i="12" s="1"/>
  <c r="AB18" i="12" s="1"/>
  <c r="AD18" i="12" s="1"/>
  <c r="Y18" i="12"/>
  <c r="AA18" i="12" s="1"/>
  <c r="AC18" i="12" s="1"/>
  <c r="X70" i="12"/>
  <c r="Z70" i="12" s="1"/>
  <c r="AB70" i="12" s="1"/>
  <c r="AD70" i="12" s="1"/>
  <c r="Y70" i="12"/>
  <c r="AA70" i="12" s="1"/>
  <c r="AC70" i="12" s="1"/>
  <c r="X11" i="12"/>
  <c r="Z11" i="12" s="1"/>
  <c r="AB11" i="12" s="1"/>
  <c r="AD11" i="12" s="1"/>
  <c r="Y11" i="12"/>
  <c r="AA11" i="12" s="1"/>
  <c r="AC11" i="12" s="1"/>
  <c r="Y83" i="12"/>
  <c r="AA83" i="12" s="1"/>
  <c r="AC83" i="12" s="1"/>
  <c r="X83" i="12"/>
  <c r="Z83" i="12" s="1"/>
  <c r="AB83" i="12" s="1"/>
  <c r="AD83" i="12" s="1"/>
  <c r="Y125" i="12"/>
  <c r="AA125" i="12" s="1"/>
  <c r="AC125" i="12" s="1"/>
  <c r="X125" i="12"/>
  <c r="Z125" i="12" s="1"/>
  <c r="AB125" i="12" s="1"/>
  <c r="AD125" i="12" s="1"/>
  <c r="AE66" i="12"/>
  <c r="AF66" i="12" s="1"/>
  <c r="S66" i="12"/>
  <c r="U66" i="12" s="1"/>
  <c r="X112" i="12"/>
  <c r="Z112" i="12" s="1"/>
  <c r="AB112" i="12" s="1"/>
  <c r="AD112" i="12" s="1"/>
  <c r="Y112" i="12"/>
  <c r="AA112" i="12" s="1"/>
  <c r="AC112" i="12" s="1"/>
  <c r="Y16" i="12"/>
  <c r="AA16" i="12" s="1"/>
  <c r="AC16" i="12" s="1"/>
  <c r="X16" i="12"/>
  <c r="Z16" i="12" s="1"/>
  <c r="AB16" i="12" s="1"/>
  <c r="AD16" i="12" s="1"/>
  <c r="AE111" i="12"/>
  <c r="AF111" i="12" s="1"/>
  <c r="S111" i="12"/>
  <c r="U111" i="12" s="1"/>
  <c r="Y142" i="12"/>
  <c r="AA142" i="12" s="1"/>
  <c r="AC142" i="12" s="1"/>
  <c r="X142" i="12"/>
  <c r="Z142" i="12" s="1"/>
  <c r="AB142" i="12" s="1"/>
  <c r="AD142" i="12" s="1"/>
  <c r="Y44" i="12"/>
  <c r="AA44" i="12" s="1"/>
  <c r="AC44" i="12" s="1"/>
  <c r="X44" i="12"/>
  <c r="Z44" i="12" s="1"/>
  <c r="AB44" i="12" s="1"/>
  <c r="AD44" i="12" s="1"/>
  <c r="X115" i="12"/>
  <c r="Z115" i="12" s="1"/>
  <c r="AB115" i="12" s="1"/>
  <c r="AD115" i="12" s="1"/>
  <c r="Y115" i="12"/>
  <c r="AA115" i="12" s="1"/>
  <c r="AC115" i="12" s="1"/>
  <c r="X113" i="12"/>
  <c r="Z113" i="12" s="1"/>
  <c r="AB113" i="12" s="1"/>
  <c r="AD113" i="12" s="1"/>
  <c r="Y113" i="12"/>
  <c r="AA113" i="12" s="1"/>
  <c r="AC113" i="12" s="1"/>
  <c r="AE121" i="12"/>
  <c r="AF121" i="12" s="1"/>
  <c r="S121" i="12"/>
  <c r="U121" i="12" s="1"/>
  <c r="AE123" i="12"/>
  <c r="AF123" i="12" s="1"/>
  <c r="S123" i="12"/>
  <c r="U123" i="12" s="1"/>
  <c r="AE68" i="12"/>
  <c r="AF68" i="12" s="1"/>
  <c r="S68" i="12"/>
  <c r="U68" i="12" s="1"/>
  <c r="X32" i="12"/>
  <c r="Z32" i="12" s="1"/>
  <c r="AB32" i="12" s="1"/>
  <c r="AD32" i="12" s="1"/>
  <c r="Y32" i="12"/>
  <c r="AA32" i="12" s="1"/>
  <c r="AC32" i="12" s="1"/>
  <c r="Y156" i="12"/>
  <c r="AA156" i="12" s="1"/>
  <c r="AC156" i="12" s="1"/>
  <c r="X156" i="12"/>
  <c r="Z156" i="12" s="1"/>
  <c r="AB156" i="12" s="1"/>
  <c r="AD156" i="12" s="1"/>
  <c r="S41" i="12"/>
  <c r="U41" i="12" s="1"/>
  <c r="AE41" i="12"/>
  <c r="AF41" i="12" s="1"/>
  <c r="Y122" i="12"/>
  <c r="AA122" i="12" s="1"/>
  <c r="AC122" i="12" s="1"/>
  <c r="X122" i="12"/>
  <c r="Z122" i="12" s="1"/>
  <c r="AB122" i="12" s="1"/>
  <c r="AD122" i="12" s="1"/>
  <c r="X67" i="12"/>
  <c r="Z67" i="12" s="1"/>
  <c r="AB67" i="12" s="1"/>
  <c r="AD67" i="12" s="1"/>
  <c r="Y67" i="12"/>
  <c r="AA67" i="12" s="1"/>
  <c r="AC67" i="12" s="1"/>
  <c r="X152" i="12"/>
  <c r="Z152" i="12" s="1"/>
  <c r="AB152" i="12" s="1"/>
  <c r="AD152" i="12" s="1"/>
  <c r="Y152" i="12"/>
  <c r="AA152" i="12" s="1"/>
  <c r="AC152" i="12" s="1"/>
  <c r="S155" i="12"/>
  <c r="U155" i="12" s="1"/>
  <c r="AE155" i="12"/>
  <c r="AF155" i="12" s="1"/>
  <c r="AE15" i="12"/>
  <c r="AF15" i="12" s="1"/>
  <c r="S15" i="12"/>
  <c r="U15" i="12" s="1"/>
  <c r="AE65" i="12"/>
  <c r="AF65" i="12" s="1"/>
  <c r="S65" i="12"/>
  <c r="U65" i="12" s="1"/>
  <c r="AE150" i="12"/>
  <c r="AF150" i="12" s="1"/>
  <c r="S150" i="12"/>
  <c r="U150" i="12" s="1"/>
  <c r="AE40" i="12"/>
  <c r="AF40" i="12" s="1"/>
  <c r="S40" i="12"/>
  <c r="U40" i="12" s="1"/>
  <c r="Y10" i="12"/>
  <c r="AA10" i="12" s="1"/>
  <c r="AC10" i="12" s="1"/>
  <c r="X10" i="12"/>
  <c r="Z10" i="12" s="1"/>
  <c r="AB10" i="12" s="1"/>
  <c r="AD10" i="12" s="1"/>
  <c r="Y33" i="12"/>
  <c r="AA33" i="12" s="1"/>
  <c r="AC33" i="12" s="1"/>
  <c r="X33" i="12"/>
  <c r="Z33" i="12" s="1"/>
  <c r="AB33" i="12" s="1"/>
  <c r="AD33" i="12" s="1"/>
  <c r="Y140" i="12"/>
  <c r="AA140" i="12" s="1"/>
  <c r="AC140" i="12" s="1"/>
  <c r="X140" i="12"/>
  <c r="Z140" i="12" s="1"/>
  <c r="AB140" i="12" s="1"/>
  <c r="AD140" i="12" s="1"/>
  <c r="Y63" i="12"/>
  <c r="AA63" i="12" s="1"/>
  <c r="AC63" i="12" s="1"/>
  <c r="X63" i="12"/>
  <c r="Z63" i="12" s="1"/>
  <c r="AB63" i="12" s="1"/>
  <c r="AD63" i="12" s="1"/>
  <c r="AE43" i="12"/>
  <c r="AF43" i="12" s="1"/>
  <c r="S43" i="12"/>
  <c r="U43" i="12" s="1"/>
  <c r="X157" i="12"/>
  <c r="Z157" i="12" s="1"/>
  <c r="AB157" i="12" s="1"/>
  <c r="AD157" i="12" s="1"/>
  <c r="Y157" i="12"/>
  <c r="AA157" i="12" s="1"/>
  <c r="AC157" i="12" s="1"/>
  <c r="AE82" i="12"/>
  <c r="AF82" i="12" s="1"/>
  <c r="S82" i="12"/>
  <c r="U82" i="12" s="1"/>
  <c r="X72" i="12"/>
  <c r="Z72" i="12" s="1"/>
  <c r="AB72" i="12" s="1"/>
  <c r="AD72" i="12" s="1"/>
  <c r="Y72" i="12"/>
  <c r="AA72" i="12" s="1"/>
  <c r="AC72" i="12" s="1"/>
  <c r="S143" i="12"/>
  <c r="U143" i="12" s="1"/>
  <c r="AE143" i="12"/>
  <c r="AF143" i="12" s="1"/>
  <c r="AE83" i="12"/>
  <c r="AF83" i="12" s="1"/>
  <c r="S83" i="12"/>
  <c r="U83" i="12" s="1"/>
  <c r="AE25" i="12"/>
  <c r="AF25" i="12" s="1"/>
  <c r="S25" i="12"/>
  <c r="U25" i="12" s="1"/>
  <c r="Y34" i="12"/>
  <c r="AA34" i="12" s="1"/>
  <c r="AC34" i="12" s="1"/>
  <c r="X34" i="12"/>
  <c r="Z34" i="12" s="1"/>
  <c r="AB34" i="12" s="1"/>
  <c r="AD34" i="12" s="1"/>
  <c r="AE112" i="12"/>
  <c r="AF112" i="12" s="1"/>
  <c r="S112" i="12"/>
  <c r="U112" i="12" s="1"/>
  <c r="Y124" i="12"/>
  <c r="AA124" i="12" s="1"/>
  <c r="AC124" i="12" s="1"/>
  <c r="X124" i="12"/>
  <c r="Z124" i="12" s="1"/>
  <c r="AB124" i="12" s="1"/>
  <c r="AD124" i="12" s="1"/>
  <c r="AE16" i="12"/>
  <c r="AF16" i="12" s="1"/>
  <c r="S16" i="12"/>
  <c r="U16" i="12" s="1"/>
  <c r="Y24" i="12"/>
  <c r="AA24" i="12" s="1"/>
  <c r="AC24" i="12" s="1"/>
  <c r="X24" i="12"/>
  <c r="Z24" i="12" s="1"/>
  <c r="AB24" i="12" s="1"/>
  <c r="AD24" i="12" s="1"/>
  <c r="Y111" i="12"/>
  <c r="AA111" i="12" s="1"/>
  <c r="AC111" i="12" s="1"/>
  <c r="X111" i="12"/>
  <c r="Z111" i="12" s="1"/>
  <c r="AB111" i="12" s="1"/>
  <c r="AD111" i="12" s="1"/>
  <c r="AE134" i="12"/>
  <c r="AF134" i="12" s="1"/>
  <c r="S134" i="12"/>
  <c r="U134" i="12" s="1"/>
  <c r="X64" i="12"/>
  <c r="Z64" i="12" s="1"/>
  <c r="AB64" i="12" s="1"/>
  <c r="AD64" i="12" s="1"/>
  <c r="Y64" i="12"/>
  <c r="AA64" i="12" s="1"/>
  <c r="AC64" i="12" s="1"/>
  <c r="AE44" i="12"/>
  <c r="AF44" i="12" s="1"/>
  <c r="S44" i="12"/>
  <c r="U44" i="12" s="1"/>
  <c r="S80" i="12"/>
  <c r="U80" i="12" s="1"/>
  <c r="AE80" i="12"/>
  <c r="AF80" i="12" s="1"/>
  <c r="AE154" i="12"/>
  <c r="AF154" i="12" s="1"/>
  <c r="S154" i="12"/>
  <c r="U154" i="12" s="1"/>
  <c r="X85" i="12"/>
  <c r="Z85" i="12" s="1"/>
  <c r="AB85" i="12" s="1"/>
  <c r="AD85" i="12" s="1"/>
  <c r="Y85" i="12"/>
  <c r="AA85" i="12" s="1"/>
  <c r="AC85" i="12" s="1"/>
  <c r="X56" i="12"/>
  <c r="Z56" i="12" s="1"/>
  <c r="AB56" i="12" s="1"/>
  <c r="AD56" i="12" s="1"/>
  <c r="Y56" i="12"/>
  <c r="AA56" i="12" s="1"/>
  <c r="AC56" i="12" s="1"/>
  <c r="S14" i="12"/>
  <c r="U14" i="12" s="1"/>
  <c r="AE14" i="12"/>
  <c r="AF14" i="12" s="1"/>
  <c r="AE12" i="12"/>
  <c r="AF12" i="12" s="1"/>
  <c r="S12" i="12"/>
  <c r="U12" i="12" s="1"/>
  <c r="S84" i="12"/>
  <c r="U84" i="12" s="1"/>
  <c r="AE84" i="12"/>
  <c r="AF84" i="12" s="1"/>
  <c r="AE17" i="12"/>
  <c r="AF17" i="12" s="1"/>
  <c r="S17" i="12"/>
  <c r="U17" i="12" s="1"/>
  <c r="Y99" i="12"/>
  <c r="AA99" i="12" s="1"/>
  <c r="AC99" i="12" s="1"/>
  <c r="X99" i="12"/>
  <c r="Z99" i="12" s="1"/>
  <c r="AB99" i="12" s="1"/>
  <c r="AD99" i="12" s="1"/>
  <c r="Y68" i="12"/>
  <c r="AA68" i="12" s="1"/>
  <c r="AC68" i="12" s="1"/>
  <c r="X68" i="12"/>
  <c r="Z68" i="12" s="1"/>
  <c r="AB68" i="12" s="1"/>
  <c r="AD68" i="12" s="1"/>
  <c r="S93" i="12"/>
  <c r="U93" i="12" s="1"/>
  <c r="AE93" i="12"/>
  <c r="AF93" i="12" s="1"/>
  <c r="Y41" i="12"/>
  <c r="AA41" i="12" s="1"/>
  <c r="AC41" i="12" s="1"/>
  <c r="X41" i="12"/>
  <c r="Z41" i="12" s="1"/>
  <c r="AB41" i="12" s="1"/>
  <c r="AD41" i="12" s="1"/>
  <c r="AE144" i="12"/>
  <c r="AF144" i="12" s="1"/>
  <c r="S144" i="12"/>
  <c r="U144" i="12" s="1"/>
  <c r="AE13" i="12"/>
  <c r="AF13" i="12" s="1"/>
  <c r="S13" i="12"/>
  <c r="U13" i="12" s="1"/>
  <c r="S42" i="12"/>
  <c r="U42" i="12" s="1"/>
  <c r="AE42" i="12"/>
  <c r="AF42" i="12" s="1"/>
  <c r="S86" i="12"/>
  <c r="U86" i="12" s="1"/>
  <c r="AE86" i="12"/>
  <c r="AF86" i="12" s="1"/>
  <c r="AE71" i="12"/>
  <c r="AF71" i="12" s="1"/>
  <c r="S71" i="12"/>
  <c r="U71" i="12" s="1"/>
  <c r="X128" i="12"/>
  <c r="Z128" i="12" s="1"/>
  <c r="AB128" i="12" s="1"/>
  <c r="AD128" i="12" s="1"/>
  <c r="Y128" i="12"/>
  <c r="AA128" i="12" s="1"/>
  <c r="AC128" i="12" s="1"/>
  <c r="X26" i="12"/>
  <c r="Z26" i="12" s="1"/>
  <c r="AB26" i="12" s="1"/>
  <c r="AD26" i="12" s="1"/>
  <c r="Y26" i="12"/>
  <c r="AA26" i="12" s="1"/>
  <c r="AC26" i="12" s="1"/>
  <c r="Y153" i="12"/>
  <c r="AA153" i="12" s="1"/>
  <c r="AC153" i="12" s="1"/>
  <c r="X153" i="12"/>
  <c r="Z153" i="12" s="1"/>
  <c r="AB153" i="12" s="1"/>
  <c r="AD153" i="12" s="1"/>
  <c r="S141" i="12"/>
  <c r="U141" i="12" s="1"/>
  <c r="AE141" i="12"/>
  <c r="AF141" i="12" s="1"/>
  <c r="S63" i="12"/>
  <c r="U63" i="12" s="1"/>
  <c r="AE63" i="12"/>
  <c r="AF63" i="12" s="1"/>
  <c r="S18" i="12"/>
  <c r="U18" i="12" s="1"/>
  <c r="AE18" i="12"/>
  <c r="AF18" i="12" s="1"/>
  <c r="S87" i="12"/>
  <c r="U87" i="12" s="1"/>
  <c r="AE87" i="12"/>
  <c r="AF87" i="12" s="1"/>
  <c r="AE157" i="12"/>
  <c r="AF157" i="12" s="1"/>
  <c r="S157" i="12"/>
  <c r="U157" i="12" s="1"/>
  <c r="S151" i="12"/>
  <c r="U151" i="12" s="1"/>
  <c r="AE151" i="12"/>
  <c r="AF151" i="12" s="1"/>
  <c r="Y127" i="12"/>
  <c r="AA127" i="12" s="1"/>
  <c r="AC127" i="12" s="1"/>
  <c r="X127" i="12"/>
  <c r="Z127" i="12" s="1"/>
  <c r="AB127" i="12" s="1"/>
  <c r="AD127" i="12" s="1"/>
  <c r="X82" i="12"/>
  <c r="Z82" i="12" s="1"/>
  <c r="AB82" i="12" s="1"/>
  <c r="AD82" i="12" s="1"/>
  <c r="Y82" i="12"/>
  <c r="AA82" i="12" s="1"/>
  <c r="AC82" i="12" s="1"/>
  <c r="X143" i="12"/>
  <c r="Z143" i="12" s="1"/>
  <c r="AB143" i="12" s="1"/>
  <c r="AD143" i="12" s="1"/>
  <c r="Y143" i="12"/>
  <c r="AA143" i="12" s="1"/>
  <c r="AC143" i="12" s="1"/>
  <c r="X66" i="12"/>
  <c r="Z66" i="12" s="1"/>
  <c r="AB66" i="12" s="1"/>
  <c r="AD66" i="12" s="1"/>
  <c r="Y66" i="12"/>
  <c r="AA66" i="12" s="1"/>
  <c r="AC66" i="12" s="1"/>
  <c r="X105" i="12"/>
  <c r="Z105" i="12" s="1"/>
  <c r="AB105" i="12" s="1"/>
  <c r="AD105" i="12" s="1"/>
  <c r="Y105" i="12"/>
  <c r="AA105" i="12" s="1"/>
  <c r="AC105" i="12" s="1"/>
  <c r="S34" i="12"/>
  <c r="U34" i="12" s="1"/>
  <c r="AE34" i="12"/>
  <c r="AF34" i="12" s="1"/>
  <c r="Y114" i="12"/>
  <c r="AA114" i="12" s="1"/>
  <c r="AC114" i="12" s="1"/>
  <c r="X114" i="12"/>
  <c r="Z114" i="12" s="1"/>
  <c r="AB114" i="12" s="1"/>
  <c r="AD114" i="12" s="1"/>
  <c r="X50" i="12"/>
  <c r="Z50" i="12" s="1"/>
  <c r="AB50" i="12" s="1"/>
  <c r="AD50" i="12" s="1"/>
  <c r="Y50" i="12"/>
  <c r="AA50" i="12" s="1"/>
  <c r="AC50" i="12" s="1"/>
  <c r="S124" i="12"/>
  <c r="U124" i="12" s="1"/>
  <c r="AE124" i="12"/>
  <c r="AF124" i="12" s="1"/>
  <c r="Y62" i="12"/>
  <c r="AA62" i="12" s="1"/>
  <c r="AC62" i="12" s="1"/>
  <c r="X62" i="12"/>
  <c r="Z62" i="12" s="1"/>
  <c r="AB62" i="12" s="1"/>
  <c r="AD62" i="12" s="1"/>
  <c r="AE81" i="12"/>
  <c r="AF81" i="12" s="1"/>
  <c r="S81" i="12"/>
  <c r="U81" i="12" s="1"/>
  <c r="AE24" i="12"/>
  <c r="AF24" i="12" s="1"/>
  <c r="S24" i="12"/>
  <c r="U24" i="12" s="1"/>
  <c r="AE142" i="12"/>
  <c r="AF142" i="12" s="1"/>
  <c r="S142" i="12"/>
  <c r="U142" i="12" s="1"/>
  <c r="X134" i="12"/>
  <c r="Z134" i="12" s="1"/>
  <c r="AB134" i="12" s="1"/>
  <c r="AD134" i="12" s="1"/>
  <c r="Y134" i="12"/>
  <c r="AA134" i="12" s="1"/>
  <c r="AC134" i="12" s="1"/>
  <c r="AE64" i="12"/>
  <c r="AF64" i="12" s="1"/>
  <c r="S64" i="12"/>
  <c r="U64" i="12" s="1"/>
  <c r="S69" i="12"/>
  <c r="U69" i="12" s="1"/>
  <c r="AE69" i="12"/>
  <c r="AF69" i="12" s="1"/>
  <c r="X80" i="12"/>
  <c r="Z80" i="12" s="1"/>
  <c r="AB80" i="12" s="1"/>
  <c r="AD80" i="12" s="1"/>
  <c r="Y80" i="12"/>
  <c r="AA80" i="12" s="1"/>
  <c r="AC80" i="12" s="1"/>
  <c r="Q73" i="12" l="1"/>
  <c r="AB47" i="2" s="1"/>
  <c r="D38" i="7"/>
  <c r="W73" i="12"/>
  <c r="Y73" i="12" s="1"/>
  <c r="AA73" i="12" s="1"/>
  <c r="AC73" i="12" s="1"/>
  <c r="R73" i="12"/>
  <c r="T73" i="12" s="1"/>
  <c r="S73" i="12" l="1"/>
  <c r="U73" i="12" s="1"/>
  <c r="AE73" i="12"/>
  <c r="AF73" i="12" s="1"/>
  <c r="AA12" i="7"/>
  <c r="K11" i="2"/>
  <c r="Z46" i="2" s="1"/>
  <c r="V32" i="2" s="1"/>
  <c r="V33" i="2" s="1"/>
  <c r="N10" i="2"/>
  <c r="AB48" i="2" s="1"/>
  <c r="AA11" i="7"/>
  <c r="K16" i="2"/>
  <c r="AB46" i="2" s="1"/>
  <c r="V29" i="2" s="1"/>
  <c r="X73" i="12"/>
  <c r="Z73" i="12" s="1"/>
  <c r="AB73" i="12" s="1"/>
  <c r="AD73" i="12" s="1"/>
  <c r="AA14" i="7" l="1"/>
  <c r="AA17" i="7" s="1"/>
  <c r="V13" i="7" s="1"/>
  <c r="V27" i="2"/>
  <c r="S16" i="7" l="1"/>
  <c r="V16" i="7"/>
  <c r="S18" i="7"/>
  <c r="S20" i="7"/>
  <c r="S11" i="7"/>
  <c r="V11" i="7"/>
  <c r="V17" i="7"/>
  <c r="V12" i="7"/>
  <c r="S19" i="7"/>
  <c r="S21" i="7"/>
  <c r="V19" i="7"/>
  <c r="V14" i="7"/>
  <c r="V20" i="7"/>
  <c r="S12" i="7"/>
  <c r="S14" i="7"/>
  <c r="V15" i="7"/>
  <c r="V21" i="7"/>
  <c r="S13" i="7"/>
  <c r="AH13" i="7" s="1"/>
  <c r="S15" i="7"/>
  <c r="S17" i="7"/>
  <c r="V18" i="7"/>
  <c r="AH17" i="7" l="1"/>
  <c r="AH11" i="7"/>
  <c r="D46" i="7" s="1"/>
  <c r="AH19" i="7"/>
  <c r="AH16" i="7"/>
  <c r="AH20" i="7"/>
  <c r="AH15" i="7"/>
  <c r="AH14" i="7"/>
  <c r="AH18" i="7"/>
  <c r="AH12" i="7"/>
  <c r="AH21" i="7"/>
  <c r="D48" i="7" l="1"/>
  <c r="Z44" i="2" s="1"/>
  <c r="Z42" i="2"/>
</calcChain>
</file>

<file path=xl/sharedStrings.xml><?xml version="1.0" encoding="utf-8"?>
<sst xmlns="http://schemas.openxmlformats.org/spreadsheetml/2006/main" count="3419" uniqueCount="1113">
  <si>
    <t>Serie</t>
  </si>
  <si>
    <t>Modell</t>
  </si>
  <si>
    <t>Slagl</t>
  </si>
  <si>
    <t>Fi</t>
  </si>
  <si>
    <t>Fs</t>
  </si>
  <si>
    <t>TU</t>
  </si>
  <si>
    <t>X</t>
  </si>
  <si>
    <t>val1</t>
  </si>
  <si>
    <t>val2</t>
  </si>
  <si>
    <t>val3</t>
  </si>
  <si>
    <t>Indexval från listor. Input till kod</t>
  </si>
  <si>
    <t>WDX356203</t>
  </si>
  <si>
    <t>WDX356204</t>
  </si>
  <si>
    <t>Index</t>
  </si>
  <si>
    <t>Lbox 9 Varumärke</t>
  </si>
  <si>
    <t>Lbox 6</t>
  </si>
  <si>
    <t>LBox 7</t>
  </si>
  <si>
    <t>LBox 8</t>
  </si>
  <si>
    <t>Vald produkt</t>
  </si>
  <si>
    <t>mm</t>
  </si>
  <si>
    <t>kN</t>
  </si>
  <si>
    <t>Unit convertion</t>
  </si>
  <si>
    <t>Pressure</t>
  </si>
  <si>
    <t>bar</t>
  </si>
  <si>
    <t>Konverteringsfaktor</t>
  </si>
  <si>
    <t>psi</t>
  </si>
  <si>
    <t>Force</t>
  </si>
  <si>
    <t>lbf</t>
  </si>
  <si>
    <t>Virtuell slagvolym</t>
  </si>
  <si>
    <t>N</t>
  </si>
  <si>
    <t>Kurva</t>
  </si>
  <si>
    <t>Slag (mm)</t>
  </si>
  <si>
    <t>Virtuell volym</t>
  </si>
  <si>
    <t>Vi / Vf</t>
  </si>
  <si>
    <t>(Vi / Vf)^kappa</t>
  </si>
  <si>
    <t>slagl</t>
  </si>
  <si>
    <t>utnyttjad slagl mm</t>
  </si>
  <si>
    <t>Antal fjädrar</t>
  </si>
  <si>
    <t>st</t>
  </si>
  <si>
    <t>Status tryckenhet</t>
  </si>
  <si>
    <t>Status kraftenhet</t>
  </si>
  <si>
    <t>tryck från control</t>
  </si>
  <si>
    <t>ger i bar</t>
  </si>
  <si>
    <t>Vi/Vf = (Ff/Fi)^(1/1,4)</t>
  </si>
  <si>
    <t>l = k*s / (k-1)</t>
  </si>
  <si>
    <t>Virtuell volym, Viv</t>
  </si>
  <si>
    <t>Slutvolym, utnyttjad slagl</t>
  </si>
  <si>
    <t>nytt Viny / Vfny</t>
  </si>
  <si>
    <t>kappa</t>
  </si>
  <si>
    <t>kraft och tryckfaktor  (Viny / Vfny)^kappa</t>
  </si>
  <si>
    <t>Detta ska tas multiplicerat med Fi eller Pi</t>
  </si>
  <si>
    <t>ger sluttryck</t>
  </si>
  <si>
    <t>Ger initialkraft</t>
  </si>
  <si>
    <t>Ger initailalkraft totalt</t>
  </si>
  <si>
    <t>ger slutkraft per fjäder</t>
  </si>
  <si>
    <t>Ger slutkraft totalt</t>
  </si>
  <si>
    <t>Utnyttjad slaglängd</t>
  </si>
  <si>
    <t>Input från annan flik</t>
  </si>
  <si>
    <t>Utput till annan flik</t>
  </si>
  <si>
    <t>pcs</t>
  </si>
  <si>
    <t>CU4</t>
  </si>
  <si>
    <t>R19</t>
  </si>
  <si>
    <t>M2</t>
  </si>
  <si>
    <t>MC3</t>
  </si>
  <si>
    <t>K</t>
  </si>
  <si>
    <t>R12</t>
  </si>
  <si>
    <t>R15</t>
  </si>
  <si>
    <t>CX</t>
  </si>
  <si>
    <t>TX</t>
  </si>
  <si>
    <t>TL</t>
  </si>
  <si>
    <t>TUS</t>
  </si>
  <si>
    <t>LCF</t>
  </si>
  <si>
    <t>TUR</t>
  </si>
  <si>
    <t>tblKaller</t>
  </si>
  <si>
    <t>X 350-100</t>
  </si>
  <si>
    <t>X 500-100</t>
  </si>
  <si>
    <t>X 750-100</t>
  </si>
  <si>
    <t>X 750-125</t>
  </si>
  <si>
    <t>X 1000-100</t>
  </si>
  <si>
    <t>X 1000-125</t>
  </si>
  <si>
    <t>X 1500-100</t>
  </si>
  <si>
    <t>X 1500-125</t>
  </si>
  <si>
    <t>X 2400-100</t>
  </si>
  <si>
    <t>X 2400-125</t>
  </si>
  <si>
    <t>X 4200-100</t>
  </si>
  <si>
    <t>X 4200-125</t>
  </si>
  <si>
    <t>X 6600-100</t>
  </si>
  <si>
    <t>X 6600-125</t>
  </si>
  <si>
    <t>X 9500-100</t>
  </si>
  <si>
    <t>X 9500-125</t>
  </si>
  <si>
    <t>TU 250-100</t>
  </si>
  <si>
    <t>TU 500-100</t>
  </si>
  <si>
    <t>TU 750-100</t>
  </si>
  <si>
    <t>TU 750-125</t>
  </si>
  <si>
    <t>TU 750-160</t>
  </si>
  <si>
    <t>TU 750-200</t>
  </si>
  <si>
    <t>TU 750-250</t>
  </si>
  <si>
    <t>TU 750-300</t>
  </si>
  <si>
    <t>TU 1500-100</t>
  </si>
  <si>
    <t>TU 1500-125</t>
  </si>
  <si>
    <t>TU 1500-160</t>
  </si>
  <si>
    <t>TU 1500-200</t>
  </si>
  <si>
    <t>TU 1500-250</t>
  </si>
  <si>
    <t>TU 1500-300</t>
  </si>
  <si>
    <t>TU 3000-100</t>
  </si>
  <si>
    <t>TU 3000-125</t>
  </si>
  <si>
    <t>TU 3000-160</t>
  </si>
  <si>
    <t>TU 3000-200</t>
  </si>
  <si>
    <t>TU 3000-250</t>
  </si>
  <si>
    <t>TU 3000-300</t>
  </si>
  <si>
    <t>TU 5000-100</t>
  </si>
  <si>
    <t>TU 5000-125</t>
  </si>
  <si>
    <t>TU 5000-160</t>
  </si>
  <si>
    <t>TU 5000-200</t>
  </si>
  <si>
    <t>TU 5000-250</t>
  </si>
  <si>
    <t>TU 5000-300</t>
  </si>
  <si>
    <t>TU 7500-100</t>
  </si>
  <si>
    <t>TU 7500-125</t>
  </si>
  <si>
    <t>TU 7500-160</t>
  </si>
  <si>
    <t>TU 7500-200</t>
  </si>
  <si>
    <t>TU 7500-250</t>
  </si>
  <si>
    <t>TU 7500-300</t>
  </si>
  <si>
    <t>TU 10000-100</t>
  </si>
  <si>
    <t>TU 10000-125</t>
  </si>
  <si>
    <t>TU 10000-160</t>
  </si>
  <si>
    <t>TU 10000-200</t>
  </si>
  <si>
    <t>TU 10000-250</t>
  </si>
  <si>
    <t>TU 10000-300</t>
  </si>
  <si>
    <t>X 350-125</t>
  </si>
  <si>
    <t>TU 250-125</t>
  </si>
  <si>
    <t>X 500-125</t>
  </si>
  <si>
    <t>TU 500-125</t>
  </si>
  <si>
    <t>TU 500-160</t>
  </si>
  <si>
    <t>TX 20000-100</t>
  </si>
  <si>
    <t>TX 20000-125</t>
  </si>
  <si>
    <t>TX 20000-160</t>
  </si>
  <si>
    <t>TX 20000-200</t>
  </si>
  <si>
    <t>TX 20000-250</t>
  </si>
  <si>
    <t>TX 20000-300</t>
  </si>
  <si>
    <t>TX 1000-100</t>
  </si>
  <si>
    <t>TX 1000-125</t>
  </si>
  <si>
    <t>TX 1000-160</t>
  </si>
  <si>
    <t>TX 1000-200</t>
  </si>
  <si>
    <t>TX 1000-250</t>
  </si>
  <si>
    <t>TX 1000-300</t>
  </si>
  <si>
    <t>TX 2400-100</t>
  </si>
  <si>
    <t>TX 2400-125</t>
  </si>
  <si>
    <t>TX 2400-160</t>
  </si>
  <si>
    <t>TX 2400-200</t>
  </si>
  <si>
    <t>TX 2400-250</t>
  </si>
  <si>
    <t>TX 2400-300</t>
  </si>
  <si>
    <t>TX 4200-100</t>
  </si>
  <si>
    <t>TX 4200-125</t>
  </si>
  <si>
    <t>TX 4200-160</t>
  </si>
  <si>
    <t>TX 4200-200</t>
  </si>
  <si>
    <t>TX 4200-250</t>
  </si>
  <si>
    <t>TX 4200-300</t>
  </si>
  <si>
    <t>TX 6600-100</t>
  </si>
  <si>
    <t>TX 6600-125</t>
  </si>
  <si>
    <t>TX 6600-160</t>
  </si>
  <si>
    <t>TX 6600-200</t>
  </si>
  <si>
    <t>TX 6600-250</t>
  </si>
  <si>
    <t>TX 6600-300</t>
  </si>
  <si>
    <t>TX 9500-100</t>
  </si>
  <si>
    <t>TX 9500-125</t>
  </si>
  <si>
    <t>TX 9500-160</t>
  </si>
  <si>
    <t>TX 9500-200</t>
  </si>
  <si>
    <t>TX 9500-250</t>
  </si>
  <si>
    <t>TX 9500-300</t>
  </si>
  <si>
    <t>X 20000-100</t>
  </si>
  <si>
    <t>X 20000-125</t>
  </si>
  <si>
    <t>Tryck</t>
  </si>
  <si>
    <t>Fylltryck</t>
  </si>
  <si>
    <t>Införs i steg</t>
  </si>
  <si>
    <t>T4SC-</t>
  </si>
  <si>
    <t>Strokelength</t>
  </si>
  <si>
    <t>Utilized</t>
  </si>
  <si>
    <t>Fill pressure</t>
  </si>
  <si>
    <t>Frequency</t>
  </si>
  <si>
    <t>Env./Tool</t>
  </si>
  <si>
    <t>Estimated running</t>
  </si>
  <si>
    <t>F° env./tool</t>
  </si>
  <si>
    <t>strokelength</t>
  </si>
  <si>
    <t>temperature</t>
  </si>
  <si>
    <t>Rörlängd</t>
  </si>
  <si>
    <t>Röryta</t>
  </si>
  <si>
    <t>Fjäderfaktor</t>
  </si>
  <si>
    <t>temperature between:</t>
  </si>
  <si>
    <t>temp.</t>
  </si>
  <si>
    <t>Spring Size</t>
  </si>
  <si>
    <t>[mm]</t>
  </si>
  <si>
    <t>[Bar]</t>
  </si>
  <si>
    <t>[spm]</t>
  </si>
  <si>
    <t>[°C]</t>
  </si>
  <si>
    <t>[°F]</t>
  </si>
  <si>
    <t>L (approx)</t>
  </si>
  <si>
    <t>A</t>
  </si>
  <si>
    <t>Kf</t>
  </si>
  <si>
    <t>P som [°F]</t>
  </si>
  <si>
    <t>Q som [°F]</t>
  </si>
  <si>
    <t>to C°</t>
  </si>
  <si>
    <t>N + T</t>
  </si>
  <si>
    <t>U + 10°C</t>
  </si>
  <si>
    <t>U to F°</t>
  </si>
  <si>
    <t>V to F°</t>
  </si>
  <si>
    <t>Samma som CU</t>
  </si>
  <si>
    <t>Samma som CU + slagl. 65</t>
  </si>
  <si>
    <t>T5-</t>
  </si>
  <si>
    <t>Värden från Avdo. 0,8 för att korrespondera mot graf i broschyren där hundra grader tillåts</t>
  </si>
  <si>
    <t>T2L-</t>
  </si>
  <si>
    <t>Tryckfaktor</t>
  </si>
  <si>
    <t>Slagfaktor</t>
  </si>
  <si>
    <t>K1</t>
  </si>
  <si>
    <t>Kp</t>
  </si>
  <si>
    <t>Ks</t>
  </si>
  <si>
    <t>K500</t>
  </si>
  <si>
    <t>Samma värden som KS idag</t>
  </si>
  <si>
    <t>K750</t>
  </si>
  <si>
    <t>K1500</t>
  </si>
  <si>
    <t>Samma värden som idag</t>
  </si>
  <si>
    <t>T2 LCF</t>
  </si>
  <si>
    <t>Samma värden som TU</t>
  </si>
  <si>
    <t>T2-180</t>
  </si>
  <si>
    <t>Tryck-och</t>
  </si>
  <si>
    <t>Slaglängdsfaktor</t>
  </si>
  <si>
    <t>SPM-faktor</t>
  </si>
  <si>
    <t>%-faktor</t>
  </si>
  <si>
    <t>Nya tester</t>
  </si>
  <si>
    <t>T2-200</t>
  </si>
  <si>
    <t>Använd samma som M2</t>
  </si>
  <si>
    <t>T3-</t>
  </si>
  <si>
    <t>Power Line X</t>
  </si>
  <si>
    <t>T3T-</t>
  </si>
  <si>
    <t>Power Line XG</t>
  </si>
  <si>
    <t>Samma värden som X 350</t>
  </si>
  <si>
    <t>Samma värden som X 500</t>
  </si>
  <si>
    <t>Samma värden som X 750</t>
  </si>
  <si>
    <t>Samma värden som X 1000</t>
  </si>
  <si>
    <t>Samma värden som X 1500</t>
  </si>
  <si>
    <t>Samma värden som X 2400</t>
  </si>
  <si>
    <t>Samma värden som X 4200</t>
  </si>
  <si>
    <t>Samma värden som X 6600</t>
  </si>
  <si>
    <t>finns ej</t>
  </si>
  <si>
    <t>Samma värden som  X9500</t>
  </si>
  <si>
    <t>T2-50</t>
  </si>
  <si>
    <t>T2-70</t>
  </si>
  <si>
    <t>T2-90</t>
  </si>
  <si>
    <t>NPL-</t>
  </si>
  <si>
    <t>Samma värden som TU 750</t>
  </si>
  <si>
    <t>Samma värden som TU 1500</t>
  </si>
  <si>
    <t>Samma värden som TU 3000</t>
  </si>
  <si>
    <t>Samma värden som TU 5000</t>
  </si>
  <si>
    <t>Samma värden som TU 7500</t>
  </si>
  <si>
    <t>NP-</t>
  </si>
  <si>
    <t xml:space="preserve">Finns ej </t>
  </si>
  <si>
    <t>T4-</t>
  </si>
  <si>
    <t>Tryckfaktor Kp</t>
  </si>
  <si>
    <t>Fjäderfaktor K1</t>
  </si>
  <si>
    <t>Slagfaktor Ks</t>
  </si>
  <si>
    <t>Nya tester alt. samma som TU 500</t>
  </si>
  <si>
    <t>Nya tester alt. samma som TU 10T</t>
  </si>
  <si>
    <t>Kolumn F</t>
  </si>
  <si>
    <t>Tagit bort listboxarna/MC</t>
  </si>
  <si>
    <t>Nya kolumner</t>
  </si>
  <si>
    <t>Gröna kolumner visas i databladet</t>
  </si>
  <si>
    <t>Kolumn 7 Ska vara StrCode</t>
  </si>
  <si>
    <t>K 500</t>
  </si>
  <si>
    <t>K 750</t>
  </si>
  <si>
    <t>spm</t>
  </si>
  <si>
    <t>°C</t>
  </si>
  <si>
    <t>Hämtat från temperaturbladet</t>
  </si>
  <si>
    <t>min över rum</t>
  </si>
  <si>
    <t>om no data</t>
  </si>
  <si>
    <t>Filling Pressure</t>
  </si>
  <si>
    <t>Number of gas Springs</t>
  </si>
  <si>
    <t>° C</t>
  </si>
  <si>
    <t>° F</t>
  </si>
  <si>
    <t>Used Stroke</t>
  </si>
  <si>
    <t>GM</t>
  </si>
  <si>
    <t xml:space="preserve"> </t>
  </si>
  <si>
    <t>StrCode</t>
  </si>
  <si>
    <t>Felmeddelande om tempdata saknas</t>
  </si>
  <si>
    <t>Detta är värden ur katalog/MC</t>
  </si>
  <si>
    <t>TU 250-16</t>
  </si>
  <si>
    <t>TU 250-25</t>
  </si>
  <si>
    <t>TU 250-38,1</t>
  </si>
  <si>
    <t>TU 250-50</t>
  </si>
  <si>
    <t>TU 250-63,5</t>
  </si>
  <si>
    <t>TU 250-80</t>
  </si>
  <si>
    <t>TU 750-25</t>
  </si>
  <si>
    <t>TU 750-38,1</t>
  </si>
  <si>
    <t>TU 750-50</t>
  </si>
  <si>
    <t>TU 750-63,5</t>
  </si>
  <si>
    <t>TU 750-80</t>
  </si>
  <si>
    <t>TU 750-16</t>
  </si>
  <si>
    <t>TU 1500-25</t>
  </si>
  <si>
    <t>TU 1500-38,1</t>
  </si>
  <si>
    <t>TU 1500-50</t>
  </si>
  <si>
    <t>TU 1500-63,5</t>
  </si>
  <si>
    <t>TU 1500-80</t>
  </si>
  <si>
    <t>TU 1500-16</t>
  </si>
  <si>
    <t>Finns inte i vår katalog</t>
  </si>
  <si>
    <t>TU 3000-25</t>
  </si>
  <si>
    <t>TU 3000-38,1</t>
  </si>
  <si>
    <t>TU 3000-50</t>
  </si>
  <si>
    <t>TU 3000-63,5</t>
  </si>
  <si>
    <t>TU 3000-80</t>
  </si>
  <si>
    <t>TU 3000-16</t>
  </si>
  <si>
    <t>TU 5000-25</t>
  </si>
  <si>
    <t>TU 5000-38,1</t>
  </si>
  <si>
    <t>TU 5000-50</t>
  </si>
  <si>
    <t>TU 5000-63,5</t>
  </si>
  <si>
    <t>TU 5000-80</t>
  </si>
  <si>
    <t>TU 5000-16</t>
  </si>
  <si>
    <t>TU 7500-25</t>
  </si>
  <si>
    <t>TU 7500-38,1</t>
  </si>
  <si>
    <t>TU 7500-50</t>
  </si>
  <si>
    <t>TU 7500-63,5</t>
  </si>
  <si>
    <t>TU 7500-80</t>
  </si>
  <si>
    <t>TU 7500-16</t>
  </si>
  <si>
    <t>X 350-25</t>
  </si>
  <si>
    <t>X 350-38</t>
  </si>
  <si>
    <t>X 350-50</t>
  </si>
  <si>
    <t>X 350-63</t>
  </si>
  <si>
    <t>X 350-80</t>
  </si>
  <si>
    <t>X 500-25</t>
  </si>
  <si>
    <t>X 500-38</t>
  </si>
  <si>
    <t>X 500-50</t>
  </si>
  <si>
    <t>X 500-63</t>
  </si>
  <si>
    <t>X 500-80</t>
  </si>
  <si>
    <t>X 750-25</t>
  </si>
  <si>
    <t>X 750-38</t>
  </si>
  <si>
    <t>X 750-50</t>
  </si>
  <si>
    <t>X 750-63</t>
  </si>
  <si>
    <t>X 750-80</t>
  </si>
  <si>
    <t>X 1000-25</t>
  </si>
  <si>
    <t>X 1000-38</t>
  </si>
  <si>
    <t>X 1000-50</t>
  </si>
  <si>
    <t>X 1000-63</t>
  </si>
  <si>
    <t>X 1000-80</t>
  </si>
  <si>
    <t>X 1500-25</t>
  </si>
  <si>
    <t>X 1500-38</t>
  </si>
  <si>
    <t>X 1500-50</t>
  </si>
  <si>
    <t>X 1500-63</t>
  </si>
  <si>
    <t>X 1500-80</t>
  </si>
  <si>
    <t>X 2400-25</t>
  </si>
  <si>
    <t>X 2400-38</t>
  </si>
  <si>
    <t>X 2400-50</t>
  </si>
  <si>
    <t>X 2400-63</t>
  </si>
  <si>
    <t>X 2400-80</t>
  </si>
  <si>
    <t>X 4200-25</t>
  </si>
  <si>
    <t>X 4200-38</t>
  </si>
  <si>
    <t>X 4200-50</t>
  </si>
  <si>
    <t>X 4200-63</t>
  </si>
  <si>
    <t>X 4200-80</t>
  </si>
  <si>
    <t>X 6600-25</t>
  </si>
  <si>
    <t>X 6600-38</t>
  </si>
  <si>
    <t>X 6600-50</t>
  </si>
  <si>
    <t>X 6600-63</t>
  </si>
  <si>
    <t>X 6600-80</t>
  </si>
  <si>
    <t>X 9500-25</t>
  </si>
  <si>
    <t>X 9500-38</t>
  </si>
  <si>
    <t>X 9500-50</t>
  </si>
  <si>
    <t>X 9500-63</t>
  </si>
  <si>
    <t>X 9500-80</t>
  </si>
  <si>
    <t>Från W-DX35-62M</t>
  </si>
  <si>
    <t>TU 250-10</t>
  </si>
  <si>
    <t>TU 500-25</t>
  </si>
  <si>
    <t>TU 500-50</t>
  </si>
  <si>
    <t>TU 500-80</t>
  </si>
  <si>
    <t>TU 10000-25</t>
  </si>
  <si>
    <t>TU 10000-50</t>
  </si>
  <si>
    <t>TU 10000-80</t>
  </si>
  <si>
    <t>90.25.00</t>
  </si>
  <si>
    <t>X 350-10</t>
  </si>
  <si>
    <t>X 350-16</t>
  </si>
  <si>
    <t>X 500-16</t>
  </si>
  <si>
    <t>X 750-16</t>
  </si>
  <si>
    <t>X 1000-16</t>
  </si>
  <si>
    <t>X 2400-16</t>
  </si>
  <si>
    <t>X 4200-16</t>
  </si>
  <si>
    <t>X 6600-16</t>
  </si>
  <si>
    <t>X 20000-25</t>
  </si>
  <si>
    <t>X 20000-50</t>
  </si>
  <si>
    <t>X 20000-63</t>
  </si>
  <si>
    <t>X 20000-80</t>
  </si>
  <si>
    <t>90.25.08</t>
  </si>
  <si>
    <t>TX 1000-50</t>
  </si>
  <si>
    <t>TX 1000-80</t>
  </si>
  <si>
    <t>TX 2400-25</t>
  </si>
  <si>
    <t>TX 2400-50</t>
  </si>
  <si>
    <t>TX 2400-80</t>
  </si>
  <si>
    <t>TX 4200-25</t>
  </si>
  <si>
    <t>TX 4200-50</t>
  </si>
  <si>
    <t>TX 4200-80</t>
  </si>
  <si>
    <t>TX 6600-25</t>
  </si>
  <si>
    <t>TX 6600-50</t>
  </si>
  <si>
    <t>TX 6600-80</t>
  </si>
  <si>
    <t>TX 9500-25</t>
  </si>
  <si>
    <t>TX 9500-50</t>
  </si>
  <si>
    <t>TX 9500-80</t>
  </si>
  <si>
    <t>TX 20000-25</t>
  </si>
  <si>
    <t>TX 20000-50</t>
  </si>
  <si>
    <t>TX 20000-80</t>
  </si>
  <si>
    <t>90.25.05</t>
  </si>
  <si>
    <t>Driftstemperatur</t>
  </si>
  <si>
    <t>Medel</t>
  </si>
  <si>
    <t>ktemp (273+T)/(237+20)</t>
  </si>
  <si>
    <t>Isothermal force at 20 °C</t>
  </si>
  <si>
    <t>Detta är isoterm kraftökning</t>
  </si>
  <si>
    <t>Initialkraft vid 20 °C</t>
  </si>
  <si>
    <t>Isotermt är Vi/Vf=(Ff/Fi)</t>
  </si>
  <si>
    <t>Ff/Fi = Vi/Vf = k</t>
  </si>
  <si>
    <t>Virtuell slutvolym, Vfv</t>
  </si>
  <si>
    <t>Virtuell slutvolym för utnyttjad slagl, Vfvny</t>
  </si>
  <si>
    <t>Iso t kraft per fj</t>
  </si>
  <si>
    <t>Fjädertryck ur tabell</t>
  </si>
  <si>
    <t>kN eller lbf</t>
  </si>
  <si>
    <t>Isotermt</t>
  </si>
  <si>
    <t>Fyllutnyttande</t>
  </si>
  <si>
    <t>Polytrop kraft per fjäder</t>
  </si>
  <si>
    <t>Isothermal force at estimated running temperature</t>
  </si>
  <si>
    <t>MC3 SP-10</t>
  </si>
  <si>
    <t>MC3 SP-16</t>
  </si>
  <si>
    <t>MC3 SP-25</t>
  </si>
  <si>
    <t>MC3 SP-50</t>
  </si>
  <si>
    <t>MC3 SP-80</t>
  </si>
  <si>
    <t>MC3 SP-100</t>
  </si>
  <si>
    <t>MC3 SP-125</t>
  </si>
  <si>
    <t>Ändring</t>
  </si>
  <si>
    <t>Felmeddelande om för lång slaglängd</t>
  </si>
  <si>
    <t>Utnyttjad slagl</t>
  </si>
  <si>
    <t>Använd slaglängd ev reducerad till max</t>
  </si>
  <si>
    <t>info@kaller.com</t>
  </si>
  <si>
    <t>Please send feeback and comments to:</t>
  </si>
  <si>
    <t>KALLER</t>
  </si>
  <si>
    <t>FORD</t>
  </si>
  <si>
    <t>Surrounding Temperature</t>
  </si>
  <si>
    <t>Grönmarkerade rutor är ej skyddade för att makrot ska skunna skriva där</t>
  </si>
  <si>
    <t>User data fält och cell med email länk är upplåst</t>
  </si>
  <si>
    <t xml:space="preserve">  Temp  °C</t>
  </si>
  <si>
    <t>INITIAL FORCE</t>
  </si>
  <si>
    <t>FINAL FORCE</t>
  </si>
  <si>
    <t>ESTIMATED RUNNING TEMPERATURE BETWEEN:</t>
  </si>
  <si>
    <t>IMPORTANT:</t>
  </si>
  <si>
    <t>Not:</t>
  </si>
  <si>
    <t>XG</t>
  </si>
  <si>
    <t>TU 250-12,7</t>
  </si>
  <si>
    <t>TU 500-10</t>
  </si>
  <si>
    <t>TU 500-12,7</t>
  </si>
  <si>
    <t>TU 500-38,1</t>
  </si>
  <si>
    <t>TU 500-63,5</t>
  </si>
  <si>
    <t>TU 750-12,7</t>
  </si>
  <si>
    <t>TU 10000-38,1</t>
  </si>
  <si>
    <t>TU 10000-63,5</t>
  </si>
  <si>
    <t>X 170-7</t>
  </si>
  <si>
    <t>X 170-10</t>
  </si>
  <si>
    <t>X 170-15</t>
  </si>
  <si>
    <t>X 170-19</t>
  </si>
  <si>
    <t>X 170-25</t>
  </si>
  <si>
    <t>X 170-38</t>
  </si>
  <si>
    <t>X 170-50</t>
  </si>
  <si>
    <t>X 170-63</t>
  </si>
  <si>
    <t>X 170-75</t>
  </si>
  <si>
    <t>X 170-80</t>
  </si>
  <si>
    <t>X 170-100</t>
  </si>
  <si>
    <t>X 170-125</t>
  </si>
  <si>
    <t>X 320-7</t>
  </si>
  <si>
    <t>X 320-10</t>
  </si>
  <si>
    <t>X 320-15</t>
  </si>
  <si>
    <t>X 320-19</t>
  </si>
  <si>
    <t>X 320-25</t>
  </si>
  <si>
    <t>X 320-38</t>
  </si>
  <si>
    <t>X 320-50</t>
  </si>
  <si>
    <t>X 320-63</t>
  </si>
  <si>
    <t>X 320-75</t>
  </si>
  <si>
    <t>X 320-80</t>
  </si>
  <si>
    <t>X 320-100</t>
  </si>
  <si>
    <t>X 320-125</t>
  </si>
  <si>
    <t>X 350-13</t>
  </si>
  <si>
    <t>X 350-19</t>
  </si>
  <si>
    <t>X 350-32</t>
  </si>
  <si>
    <t>X 350-75</t>
  </si>
  <si>
    <t>X 500-10</t>
  </si>
  <si>
    <t>X 500-13</t>
  </si>
  <si>
    <t>X 500-19</t>
  </si>
  <si>
    <t>X 500-32</t>
  </si>
  <si>
    <t>X 500-75</t>
  </si>
  <si>
    <t>X 750-10</t>
  </si>
  <si>
    <t>X 750-13</t>
  </si>
  <si>
    <t>X 750-19</t>
  </si>
  <si>
    <t>X 750-32</t>
  </si>
  <si>
    <t>X 750-75</t>
  </si>
  <si>
    <t>X 1000-13</t>
  </si>
  <si>
    <t>X 1000-19</t>
  </si>
  <si>
    <t>X 1000-32</t>
  </si>
  <si>
    <t>X 1000-75</t>
  </si>
  <si>
    <t>X 1500-13</t>
  </si>
  <si>
    <t>X 1500-16</t>
  </si>
  <si>
    <t>X 1500-19</t>
  </si>
  <si>
    <t>X 1500-32</t>
  </si>
  <si>
    <t>X 1500-75</t>
  </si>
  <si>
    <t>X 2400-19</t>
  </si>
  <si>
    <t>X 2400-32</t>
  </si>
  <si>
    <t>X 2400-75</t>
  </si>
  <si>
    <t>X 4200-19</t>
  </si>
  <si>
    <t>X 4200-32</t>
  </si>
  <si>
    <t>X 4200-75</t>
  </si>
  <si>
    <t>X 6600-19</t>
  </si>
  <si>
    <t>X 6600-32</t>
  </si>
  <si>
    <t>X 6600-75</t>
  </si>
  <si>
    <t>X 9500-19</t>
  </si>
  <si>
    <t>X 9500-32</t>
  </si>
  <si>
    <t>X 9500-75</t>
  </si>
  <si>
    <t>X 20000-19</t>
  </si>
  <si>
    <t>X 20000-32</t>
  </si>
  <si>
    <t>X 20000-38</t>
  </si>
  <si>
    <t>X 20000-75</t>
  </si>
  <si>
    <t>TX 750-13</t>
  </si>
  <si>
    <t>TX 750-25</t>
  </si>
  <si>
    <t>TX 750-38</t>
  </si>
  <si>
    <t>TX 750-50</t>
  </si>
  <si>
    <t>TX 750-63</t>
  </si>
  <si>
    <t>TX 750-75</t>
  </si>
  <si>
    <t>TX 750-80</t>
  </si>
  <si>
    <t>TX 750-100</t>
  </si>
  <si>
    <t>TX 750-125</t>
  </si>
  <si>
    <t>TX 750-150</t>
  </si>
  <si>
    <t>TX 750-160</t>
  </si>
  <si>
    <t>TX 750-175</t>
  </si>
  <si>
    <t>TX 750-200</t>
  </si>
  <si>
    <t>TX 1000-13</t>
  </si>
  <si>
    <t>TX 1000-25</t>
  </si>
  <si>
    <t>TX 1000-38</t>
  </si>
  <si>
    <t>TX 1000-63</t>
  </si>
  <si>
    <t>TX 1000-75</t>
  </si>
  <si>
    <t>TX 1000-150</t>
  </si>
  <si>
    <t>TX 1000-175</t>
  </si>
  <si>
    <t>TX 1500-13</t>
  </si>
  <si>
    <t>TX 1500-25</t>
  </si>
  <si>
    <t>TX 1500-38</t>
  </si>
  <si>
    <t>TX 1500-50</t>
  </si>
  <si>
    <t>TX 1500-63</t>
  </si>
  <si>
    <t>TX 1500-75</t>
  </si>
  <si>
    <t>TX 1500-80</t>
  </si>
  <si>
    <t>TX 1500-100</t>
  </si>
  <si>
    <t>TX 1500-125</t>
  </si>
  <si>
    <t>TX 1500-150</t>
  </si>
  <si>
    <t>TX 1500-160</t>
  </si>
  <si>
    <t>TX 1500-175</t>
  </si>
  <si>
    <t>TX 1500-200</t>
  </si>
  <si>
    <t>TX 1500-250</t>
  </si>
  <si>
    <t>TX 1500-300</t>
  </si>
  <si>
    <t>TX 2400-38</t>
  </si>
  <si>
    <t>TX 2400-63</t>
  </si>
  <si>
    <t>TX 2400-75</t>
  </si>
  <si>
    <t>TX 2400-150</t>
  </si>
  <si>
    <t>TX 2400-175</t>
  </si>
  <si>
    <t>TX 4200-38</t>
  </si>
  <si>
    <t>TX 4200-63</t>
  </si>
  <si>
    <t>TX 4200-75</t>
  </si>
  <si>
    <t>TX 4200-150</t>
  </si>
  <si>
    <t>TX 4200-175</t>
  </si>
  <si>
    <t>TX 6600-38</t>
  </si>
  <si>
    <t>TX 6600-63</t>
  </si>
  <si>
    <t>TX 6600-75</t>
  </si>
  <si>
    <t>TX 6600-150</t>
  </si>
  <si>
    <t>TX 6600-175</t>
  </si>
  <si>
    <t>TX 9500-38</t>
  </si>
  <si>
    <t>TX 9500-63</t>
  </si>
  <si>
    <t>TX 9500-75</t>
  </si>
  <si>
    <t>TX 9500-150</t>
  </si>
  <si>
    <t>TX 9500-175</t>
  </si>
  <si>
    <t>TX 20000-38</t>
  </si>
  <si>
    <t>TX 20000-63</t>
  </si>
  <si>
    <t>TX 20000-75</t>
  </si>
  <si>
    <t>TX 20000-150</t>
  </si>
  <si>
    <t>TX 20000-175</t>
  </si>
  <si>
    <t>R19-7</t>
  </si>
  <si>
    <t>R19-10</t>
  </si>
  <si>
    <t>R19-15</t>
  </si>
  <si>
    <t>R19-25</t>
  </si>
  <si>
    <t>R19-38,1</t>
  </si>
  <si>
    <t>R19-50</t>
  </si>
  <si>
    <t>R19-63,5</t>
  </si>
  <si>
    <t>R19-80</t>
  </si>
  <si>
    <t>R19-100</t>
  </si>
  <si>
    <t>R19-125</t>
  </si>
  <si>
    <t>M2-10</t>
  </si>
  <si>
    <t>M2-12,7</t>
  </si>
  <si>
    <t>M2-15</t>
  </si>
  <si>
    <t>M2-16</t>
  </si>
  <si>
    <t>M2-25</t>
  </si>
  <si>
    <t>M2-38,1</t>
  </si>
  <si>
    <t>M2-50</t>
  </si>
  <si>
    <t>M2-63,5</t>
  </si>
  <si>
    <t>M2-80</t>
  </si>
  <si>
    <t>M2-100</t>
  </si>
  <si>
    <t>M2-125</t>
  </si>
  <si>
    <t>MC3-10</t>
  </si>
  <si>
    <t>MC3-12,7</t>
  </si>
  <si>
    <t>MC3-16</t>
  </si>
  <si>
    <t>MC3-25</t>
  </si>
  <si>
    <t>MC3-38,1</t>
  </si>
  <si>
    <t>MC3-50</t>
  </si>
  <si>
    <t>MC3-63,5</t>
  </si>
  <si>
    <t>MC3-80</t>
  </si>
  <si>
    <t>MC3-100</t>
  </si>
  <si>
    <t>MC3-125</t>
  </si>
  <si>
    <t>CU4 420-6</t>
  </si>
  <si>
    <t>CU4 420-10</t>
  </si>
  <si>
    <t>CU4 420-16</t>
  </si>
  <si>
    <t>CU4 420-25</t>
  </si>
  <si>
    <t>CU4 420-32</t>
  </si>
  <si>
    <t>CU4 420-40</t>
  </si>
  <si>
    <t>CU4 420-50</t>
  </si>
  <si>
    <t>CU4 740-6</t>
  </si>
  <si>
    <t>CU4 740-10</t>
  </si>
  <si>
    <t>CU4 740-16</t>
  </si>
  <si>
    <t>CU4 740-25</t>
  </si>
  <si>
    <t>CU4 740-32</t>
  </si>
  <si>
    <t>CU4 740-40</t>
  </si>
  <si>
    <t>CU4 740-50</t>
  </si>
  <si>
    <t>CU4 1000-6</t>
  </si>
  <si>
    <t>CU4 1000-10</t>
  </si>
  <si>
    <t>CU4 1000-16</t>
  </si>
  <si>
    <t>CU4 1000-25</t>
  </si>
  <si>
    <t>CU4 1000-32</t>
  </si>
  <si>
    <t>CU4 1000-40</t>
  </si>
  <si>
    <t>CU4 1000-50</t>
  </si>
  <si>
    <t>CU4 1800-6</t>
  </si>
  <si>
    <t>CU4 1800-10</t>
  </si>
  <si>
    <t>CU4 1800-16</t>
  </si>
  <si>
    <t>CU4 1800-25</t>
  </si>
  <si>
    <t>CU4 1800-32</t>
  </si>
  <si>
    <t>CU4 1800-40</t>
  </si>
  <si>
    <t>CU4 1800-50</t>
  </si>
  <si>
    <t>CU4 1800-65</t>
  </si>
  <si>
    <t>CU4 2900-10</t>
  </si>
  <si>
    <t>CU4 2900-16</t>
  </si>
  <si>
    <t>CU4 2900-25</t>
  </si>
  <si>
    <t>CU4 2900-32</t>
  </si>
  <si>
    <t>CU4 2900-40</t>
  </si>
  <si>
    <t>CU4 2900-50</t>
  </si>
  <si>
    <t>CU4 2900-65</t>
  </si>
  <si>
    <t>CU4 4700-10</t>
  </si>
  <si>
    <t>CU4 4700-16</t>
  </si>
  <si>
    <t>CU4 4700-25</t>
  </si>
  <si>
    <t>CU4 4700-32</t>
  </si>
  <si>
    <t>CU4 4700-40</t>
  </si>
  <si>
    <t>CU4 4700-50</t>
  </si>
  <si>
    <t>CU4 4700-65</t>
  </si>
  <si>
    <t>CU4 7500-10</t>
  </si>
  <si>
    <t>CU4 7500-16</t>
  </si>
  <si>
    <t>CU4 7500-25</t>
  </si>
  <si>
    <t>CU4 7500-32</t>
  </si>
  <si>
    <t>CU4 7500-40</t>
  </si>
  <si>
    <t>CU4 7500-50</t>
  </si>
  <si>
    <t>CU4 7500-65</t>
  </si>
  <si>
    <t>CU4 11800-10</t>
  </si>
  <si>
    <t>CU4 11800-16</t>
  </si>
  <si>
    <t>CU4 11800-25</t>
  </si>
  <si>
    <t>CU4 11800-32</t>
  </si>
  <si>
    <t>CU4 11800-40</t>
  </si>
  <si>
    <t>CU4 11800-50</t>
  </si>
  <si>
    <t>CU4 11800-65</t>
  </si>
  <si>
    <t>CU4 18300-10</t>
  </si>
  <si>
    <t>CU4 18300-16</t>
  </si>
  <si>
    <t>CU4 18300-25</t>
  </si>
  <si>
    <t>CU4 18300-32</t>
  </si>
  <si>
    <t>CU4 18300-40</t>
  </si>
  <si>
    <t>CU4 18300-50</t>
  </si>
  <si>
    <t>CU4 18300-65</t>
  </si>
  <si>
    <t>CX 500-10</t>
  </si>
  <si>
    <t>CX 500-15</t>
  </si>
  <si>
    <t>CX 500-25</t>
  </si>
  <si>
    <t>CX 500-38</t>
  </si>
  <si>
    <t>CX 500-50</t>
  </si>
  <si>
    <t>CX 500-63</t>
  </si>
  <si>
    <t>CX 500-80</t>
  </si>
  <si>
    <t>CX 1000-10</t>
  </si>
  <si>
    <t>CX 1000-15</t>
  </si>
  <si>
    <t>CX 1000-25</t>
  </si>
  <si>
    <t>CX 1000-38</t>
  </si>
  <si>
    <t>CX 1000-50</t>
  </si>
  <si>
    <t>CX 1000-63</t>
  </si>
  <si>
    <t>CX 1000-80</t>
  </si>
  <si>
    <t>CX 1900-10</t>
  </si>
  <si>
    <t>CX 1900-15</t>
  </si>
  <si>
    <t>CX 1900-25</t>
  </si>
  <si>
    <t>CX 1900-38</t>
  </si>
  <si>
    <t>CX 1900-50</t>
  </si>
  <si>
    <t>CX 1900-63</t>
  </si>
  <si>
    <t>CX 1900-80</t>
  </si>
  <si>
    <t>K 500-6</t>
  </si>
  <si>
    <t>K 500-12,5</t>
  </si>
  <si>
    <t>K 500-19</t>
  </si>
  <si>
    <t>K 500-25</t>
  </si>
  <si>
    <t>K 500-38,1</t>
  </si>
  <si>
    <t>K 500-50</t>
  </si>
  <si>
    <t>K 500-63,5</t>
  </si>
  <si>
    <t>K 500-80</t>
  </si>
  <si>
    <t>K 500-100</t>
  </si>
  <si>
    <t>K 500-125</t>
  </si>
  <si>
    <t>K 750-6</t>
  </si>
  <si>
    <t>K 750-12,5</t>
  </si>
  <si>
    <t>K 750-19</t>
  </si>
  <si>
    <t>K 750-25</t>
  </si>
  <si>
    <t>K 750-38,1</t>
  </si>
  <si>
    <t>K 750-50</t>
  </si>
  <si>
    <t>K 750-63,5</t>
  </si>
  <si>
    <t>K 750-80</t>
  </si>
  <si>
    <t>K 750-100</t>
  </si>
  <si>
    <t>K 750-125</t>
  </si>
  <si>
    <t>K 1500-25</t>
  </si>
  <si>
    <t>K 1500-38,1</t>
  </si>
  <si>
    <t>K 1500-50</t>
  </si>
  <si>
    <t>K 1500-63,5</t>
  </si>
  <si>
    <t>K 1500-80</t>
  </si>
  <si>
    <t>K 1500-100</t>
  </si>
  <si>
    <t>LCF 750-12,7</t>
  </si>
  <si>
    <t>LCF 750-25</t>
  </si>
  <si>
    <t>LCF 750-38,1</t>
  </si>
  <si>
    <t>LCF 750-50</t>
  </si>
  <si>
    <t>LCF 750-63,5</t>
  </si>
  <si>
    <t>LCF 750-80</t>
  </si>
  <si>
    <t>LCF 750-100</t>
  </si>
  <si>
    <t>LCF 750-125</t>
  </si>
  <si>
    <t>LCF 750-160</t>
  </si>
  <si>
    <t>LCF 750-200</t>
  </si>
  <si>
    <t>LCF 750-250</t>
  </si>
  <si>
    <t>LCF 750-300</t>
  </si>
  <si>
    <t>LCF 1500-25</t>
  </si>
  <si>
    <t>LCF 1500-38,1</t>
  </si>
  <si>
    <t>LCF 1500-50</t>
  </si>
  <si>
    <t>LCF 1500-63,5</t>
  </si>
  <si>
    <t>LCF 1500-80</t>
  </si>
  <si>
    <t>LCF 1500-100</t>
  </si>
  <si>
    <t>LCF 1500-125</t>
  </si>
  <si>
    <t>LCF 1500-160</t>
  </si>
  <si>
    <t>LCF 1500-200</t>
  </si>
  <si>
    <t>LCF 1500-250</t>
  </si>
  <si>
    <t>LCF 1500-300</t>
  </si>
  <si>
    <t>LCF 3000-25</t>
  </si>
  <si>
    <t>LCF 3000-38,1</t>
  </si>
  <si>
    <t>LCF 3000-50</t>
  </si>
  <si>
    <t>LCF 3000-63,5</t>
  </si>
  <si>
    <t>LCF 3000-80</t>
  </si>
  <si>
    <t>LCF 3000-100</t>
  </si>
  <si>
    <t>LCF 3000-125</t>
  </si>
  <si>
    <t>LCF 3000-160</t>
  </si>
  <si>
    <t>LCF 3000-200</t>
  </si>
  <si>
    <t>LCF 3000-250</t>
  </si>
  <si>
    <t>LCF 3000-300</t>
  </si>
  <si>
    <t>LCF 5000-25</t>
  </si>
  <si>
    <t>LCF 5000-38,1</t>
  </si>
  <si>
    <t>LCF 5000-50</t>
  </si>
  <si>
    <t>LCF 5000-63,5</t>
  </si>
  <si>
    <t>LCF 5000-80</t>
  </si>
  <si>
    <t>LCF 5000-100</t>
  </si>
  <si>
    <t>LCF 5000-125</t>
  </si>
  <si>
    <t>LCF 5000-160</t>
  </si>
  <si>
    <t>LCF 5000-200</t>
  </si>
  <si>
    <t>LCF 5000-250</t>
  </si>
  <si>
    <t>LCF 5000-300</t>
  </si>
  <si>
    <t>LCF 7500-25</t>
  </si>
  <si>
    <t>LCF 7500-38,1</t>
  </si>
  <si>
    <t>LCF 7500-50</t>
  </si>
  <si>
    <t>LCF 7500-63,5</t>
  </si>
  <si>
    <t>LCF 7500-80</t>
  </si>
  <si>
    <t>LCF 7500-100</t>
  </si>
  <si>
    <t>LCF 7500-125</t>
  </si>
  <si>
    <t>LCF 7500-160</t>
  </si>
  <si>
    <t>LCF 7500-200</t>
  </si>
  <si>
    <t>LCF 7500-250</t>
  </si>
  <si>
    <t>LCF 7500-300</t>
  </si>
  <si>
    <t>XG 350-10</t>
  </si>
  <si>
    <t>XG 350-13</t>
  </si>
  <si>
    <t>XG 350-16</t>
  </si>
  <si>
    <t>XG 350-19</t>
  </si>
  <si>
    <t>XG 350-25</t>
  </si>
  <si>
    <t>XG 350-32</t>
  </si>
  <si>
    <t>XG 350-38</t>
  </si>
  <si>
    <t>XG 350-50</t>
  </si>
  <si>
    <t>XG 350-63</t>
  </si>
  <si>
    <t>XG 350-75</t>
  </si>
  <si>
    <t>XG 350-80</t>
  </si>
  <si>
    <t>XG 350-100</t>
  </si>
  <si>
    <t>XG 350-125</t>
  </si>
  <si>
    <t>XG 500-10</t>
  </si>
  <si>
    <t>XG 500-13</t>
  </si>
  <si>
    <t>XG 500-16</t>
  </si>
  <si>
    <t>XG 500-19</t>
  </si>
  <si>
    <t>XG 500-25</t>
  </si>
  <si>
    <t>XG 500-32</t>
  </si>
  <si>
    <t>XG 500-38</t>
  </si>
  <si>
    <t>XG 500-50</t>
  </si>
  <si>
    <t>XG 500-63</t>
  </si>
  <si>
    <t>XG 500-75</t>
  </si>
  <si>
    <t>XG 500-80</t>
  </si>
  <si>
    <t>XG 500-100</t>
  </si>
  <si>
    <t>XG 500-125</t>
  </si>
  <si>
    <t>XG 750-10</t>
  </si>
  <si>
    <t>XG 750-13</t>
  </si>
  <si>
    <t>XG 750-16</t>
  </si>
  <si>
    <t>XG 750-19</t>
  </si>
  <si>
    <t>XG 750-25</t>
  </si>
  <si>
    <t>XG 750-32</t>
  </si>
  <si>
    <t>XG 750-38</t>
  </si>
  <si>
    <t>XG 750-50</t>
  </si>
  <si>
    <t>XG 750-63</t>
  </si>
  <si>
    <t>XG 750-75</t>
  </si>
  <si>
    <t>XG 750-80</t>
  </si>
  <si>
    <t>XG 750-100</t>
  </si>
  <si>
    <t>XG 750-125</t>
  </si>
  <si>
    <t>XG 1000-13</t>
  </si>
  <si>
    <t>XG 1000-16</t>
  </si>
  <si>
    <t>XG 1000-19</t>
  </si>
  <si>
    <t>XG 1000-25</t>
  </si>
  <si>
    <t>XG 1000-32</t>
  </si>
  <si>
    <t>XG 1000-38</t>
  </si>
  <si>
    <t>XG 1000-50</t>
  </si>
  <si>
    <t>XG 1000-63</t>
  </si>
  <si>
    <t>XG 1000-75</t>
  </si>
  <si>
    <t>XG 1000-80</t>
  </si>
  <si>
    <t>XG 1000-100</t>
  </si>
  <si>
    <t>XG 1000-125</t>
  </si>
  <si>
    <t>XG 1500-13</t>
  </si>
  <si>
    <t>XG 1500-16</t>
  </si>
  <si>
    <t>XG 1500-19</t>
  </si>
  <si>
    <t>XG 1500-25</t>
  </si>
  <si>
    <t>XG 1500-32</t>
  </si>
  <si>
    <t>XG 1500-38</t>
  </si>
  <si>
    <t>XG 1500-50</t>
  </si>
  <si>
    <t>XG 1500-63</t>
  </si>
  <si>
    <t>XG 1500-75</t>
  </si>
  <si>
    <t>XG 1500-80</t>
  </si>
  <si>
    <t>XG 1500-100</t>
  </si>
  <si>
    <t>XG 1500-125</t>
  </si>
  <si>
    <t>XG 2400-16</t>
  </si>
  <si>
    <t>XG 2400-19</t>
  </si>
  <si>
    <t>XG 2400-25</t>
  </si>
  <si>
    <t>XG 2400-32</t>
  </si>
  <si>
    <t>XG 2400-38</t>
  </si>
  <si>
    <t>XG 2400-50</t>
  </si>
  <si>
    <t>XG 2400-63</t>
  </si>
  <si>
    <t>XG 2400-75</t>
  </si>
  <si>
    <t>XG 2400-80</t>
  </si>
  <si>
    <t>XG 2400-100</t>
  </si>
  <si>
    <t>XG 2400-125</t>
  </si>
  <si>
    <t>XG 4200-16</t>
  </si>
  <si>
    <t>XG 4200-19</t>
  </si>
  <si>
    <t>XG 4200-25</t>
  </si>
  <si>
    <t>XG 4200-32</t>
  </si>
  <si>
    <t>XG 4200-38</t>
  </si>
  <si>
    <t>XG 4200-50</t>
  </si>
  <si>
    <t>XG 4200-63</t>
  </si>
  <si>
    <t>XG 4200-75</t>
  </si>
  <si>
    <t>XG 4200-80</t>
  </si>
  <si>
    <t>XG 4200-100</t>
  </si>
  <si>
    <t>XG 4200-125</t>
  </si>
  <si>
    <t>XG 6600-16</t>
  </si>
  <si>
    <t>XG 6600-19</t>
  </si>
  <si>
    <t>XG 6600-25</t>
  </si>
  <si>
    <t>XG 6600-32</t>
  </si>
  <si>
    <t>XG 6600-38</t>
  </si>
  <si>
    <t>XG 6600-50</t>
  </si>
  <si>
    <t>XG 6600-63</t>
  </si>
  <si>
    <t>XG 6600-75</t>
  </si>
  <si>
    <t>XG 6600-80</t>
  </si>
  <si>
    <t>XG 6600-100</t>
  </si>
  <si>
    <t>XG 6600-125</t>
  </si>
  <si>
    <t>R12-7</t>
  </si>
  <si>
    <t>R12-10</t>
  </si>
  <si>
    <t>R12-12,7</t>
  </si>
  <si>
    <t>R12-15</t>
  </si>
  <si>
    <t>R12-19</t>
  </si>
  <si>
    <t>R12-25</t>
  </si>
  <si>
    <t>R12-38,1</t>
  </si>
  <si>
    <t>R12-50</t>
  </si>
  <si>
    <t>R12-63,5</t>
  </si>
  <si>
    <t>R12-75</t>
  </si>
  <si>
    <t>R12-80</t>
  </si>
  <si>
    <t>R12-100</t>
  </si>
  <si>
    <t>R12-125</t>
  </si>
  <si>
    <t>R15-7</t>
  </si>
  <si>
    <t>R15-10</t>
  </si>
  <si>
    <t>R15-12,7</t>
  </si>
  <si>
    <t>R15-15</t>
  </si>
  <si>
    <t>R15-19</t>
  </si>
  <si>
    <t>R15-25</t>
  </si>
  <si>
    <t>R15-38,1</t>
  </si>
  <si>
    <t>R15-50</t>
  </si>
  <si>
    <t>R15-63,5</t>
  </si>
  <si>
    <t>R15-75</t>
  </si>
  <si>
    <t>R15-80</t>
  </si>
  <si>
    <t>R15-100</t>
  </si>
  <si>
    <t>R15-125</t>
  </si>
  <si>
    <t>TL 750-12,5</t>
  </si>
  <si>
    <t>TL 750-25</t>
  </si>
  <si>
    <t>TL 750-37,5</t>
  </si>
  <si>
    <t>TL 750-50</t>
  </si>
  <si>
    <t>TL 750-62,5</t>
  </si>
  <si>
    <t>TL 750-75</t>
  </si>
  <si>
    <t>TL 750-80</t>
  </si>
  <si>
    <t>TL 750-87,5</t>
  </si>
  <si>
    <t>TL 750-100</t>
  </si>
  <si>
    <t>TL 750-112,5</t>
  </si>
  <si>
    <t>TL 750-125</t>
  </si>
  <si>
    <t>TL 750-137,5</t>
  </si>
  <si>
    <t>TL 750-150</t>
  </si>
  <si>
    <t>TL 750-160</t>
  </si>
  <si>
    <t>TL 750-175</t>
  </si>
  <si>
    <t>TL 750-200</t>
  </si>
  <si>
    <t>TL 750-225</t>
  </si>
  <si>
    <t>TL 750-250</t>
  </si>
  <si>
    <t>TL 1500-12,5</t>
  </si>
  <si>
    <t>TL 1500-25</t>
  </si>
  <si>
    <t>TL 1500-37,5</t>
  </si>
  <si>
    <t>TL 1500-50</t>
  </si>
  <si>
    <t>TL 1500-62,5</t>
  </si>
  <si>
    <t>TL 1500-75</t>
  </si>
  <si>
    <t>TL 1500-80</t>
  </si>
  <si>
    <t>TL 1500-87,5</t>
  </si>
  <si>
    <t>TL 1500-100</t>
  </si>
  <si>
    <t>TL 1500-112,5</t>
  </si>
  <si>
    <t>TL 1500-125</t>
  </si>
  <si>
    <t>TL 1500-137,5</t>
  </si>
  <si>
    <t>TL 1500-150</t>
  </si>
  <si>
    <t>TL 1500-160</t>
  </si>
  <si>
    <t>TL 1500-175</t>
  </si>
  <si>
    <t>TL 1500-200</t>
  </si>
  <si>
    <t>TL 1500-225</t>
  </si>
  <si>
    <t>TL 1500-250</t>
  </si>
  <si>
    <t>TL 3000-12,5</t>
  </si>
  <si>
    <t>TL 3000-25</t>
  </si>
  <si>
    <t>TL 3000-37,5</t>
  </si>
  <si>
    <t>TL 3000-50</t>
  </si>
  <si>
    <t>TL 3000-62,5</t>
  </si>
  <si>
    <t>TL 3000-75</t>
  </si>
  <si>
    <t>TL 3000-80</t>
  </si>
  <si>
    <t>TL 3000-87,5</t>
  </si>
  <si>
    <t>TL 3000-100</t>
  </si>
  <si>
    <t>TL 3000-112,5</t>
  </si>
  <si>
    <t>TL 3000-125</t>
  </si>
  <si>
    <t>TL 3000-137,5</t>
  </si>
  <si>
    <t>TL 3000-150</t>
  </si>
  <si>
    <t>TL 3000-160</t>
  </si>
  <si>
    <t>TL 3000-175</t>
  </si>
  <si>
    <t>TL 3000-200</t>
  </si>
  <si>
    <t>TL 3000-225</t>
  </si>
  <si>
    <t>TL 3000-250</t>
  </si>
  <si>
    <t>TL 5000-25</t>
  </si>
  <si>
    <t>TL 5000-37,5</t>
  </si>
  <si>
    <t>TL 5000-50</t>
  </si>
  <si>
    <t>TL 5000-62,5</t>
  </si>
  <si>
    <t>TL 5000-75</t>
  </si>
  <si>
    <t>TL 5000-80</t>
  </si>
  <si>
    <t>TL 5000-87,5</t>
  </si>
  <si>
    <t>TL 5000-100</t>
  </si>
  <si>
    <t>TL 5000-112,5</t>
  </si>
  <si>
    <t>TL 5000-125</t>
  </si>
  <si>
    <t>TL 5000-137,5</t>
  </si>
  <si>
    <t>TL 5000-150</t>
  </si>
  <si>
    <t>TL 5000-160</t>
  </si>
  <si>
    <t>TL 5000-175</t>
  </si>
  <si>
    <t>TL 5000-200</t>
  </si>
  <si>
    <t>TL 5000-225</t>
  </si>
  <si>
    <t>TL 5000-250</t>
  </si>
  <si>
    <t>TL 7500-25</t>
  </si>
  <si>
    <t>TL 7500-37,5</t>
  </si>
  <si>
    <t>TL 7500-50</t>
  </si>
  <si>
    <t>TL 7500-62,5</t>
  </si>
  <si>
    <t>TL 7500-75</t>
  </si>
  <si>
    <t>TL 7500-80</t>
  </si>
  <si>
    <t>TL 7500-87,5</t>
  </si>
  <si>
    <t>TL 7500-100</t>
  </si>
  <si>
    <t>TL 7500-112,5</t>
  </si>
  <si>
    <t>TL 7500-125</t>
  </si>
  <si>
    <t>TL 7500-137,5</t>
  </si>
  <si>
    <t>TL 7500-150</t>
  </si>
  <si>
    <t>TL 7500-160</t>
  </si>
  <si>
    <t>TL 7500-175</t>
  </si>
  <si>
    <t>TL 7500-200</t>
  </si>
  <si>
    <t>TL 7500-225</t>
  </si>
  <si>
    <t>TL 7500-250</t>
  </si>
  <si>
    <t>TUS 750-25</t>
  </si>
  <si>
    <t>TUS 750-38,1</t>
  </si>
  <si>
    <t>TUS 750-50</t>
  </si>
  <si>
    <t>TUS 750-63,5</t>
  </si>
  <si>
    <t>TUS 750-80</t>
  </si>
  <si>
    <t>TUS 750-100</t>
  </si>
  <si>
    <t>TUS 750-125</t>
  </si>
  <si>
    <t>TUS 750-160</t>
  </si>
  <si>
    <t>TUS 750-200</t>
  </si>
  <si>
    <t>TUS 750-250</t>
  </si>
  <si>
    <t>TUS 750-300</t>
  </si>
  <si>
    <t>TUS 1500-25</t>
  </si>
  <si>
    <t>TUS 1500-38,1</t>
  </si>
  <si>
    <t>TUS 1500-50</t>
  </si>
  <si>
    <t>TUS 1500-63,5</t>
  </si>
  <si>
    <t>TUS 1500-80</t>
  </si>
  <si>
    <t>TUS 1500-100</t>
  </si>
  <si>
    <t>TUS 1500-125</t>
  </si>
  <si>
    <t>TUS 1500-160</t>
  </si>
  <si>
    <t>TUS 1500-200</t>
  </si>
  <si>
    <t>TUS 1500-250</t>
  </si>
  <si>
    <t>TUS 1500-300</t>
  </si>
  <si>
    <t>TUS 3000-25</t>
  </si>
  <si>
    <t>TUS 3000-38,1</t>
  </si>
  <si>
    <t>TUS 3000-50</t>
  </si>
  <si>
    <t>TUS 3000-63,5</t>
  </si>
  <si>
    <t>TUS 3000-80</t>
  </si>
  <si>
    <t>TUS 3000-100</t>
  </si>
  <si>
    <t>TUS 3000-125</t>
  </si>
  <si>
    <t>TUS 3000-160</t>
  </si>
  <si>
    <t>TUS 3000-200</t>
  </si>
  <si>
    <t>TUS 3000-250</t>
  </si>
  <si>
    <t>TUS 3000-300</t>
  </si>
  <si>
    <t>TUS 5000-25</t>
  </si>
  <si>
    <t>TUS 5000-38,1</t>
  </si>
  <si>
    <t>TUS 5000-50</t>
  </si>
  <si>
    <t>TUS 5000-63,5</t>
  </si>
  <si>
    <t>TUS 5000-80</t>
  </si>
  <si>
    <t>TUS 5000-100</t>
  </si>
  <si>
    <t>TUS 5000-125</t>
  </si>
  <si>
    <t>TUS 5000-160</t>
  </si>
  <si>
    <t>TUS 5000-200</t>
  </si>
  <si>
    <t>TUS 5000-250</t>
  </si>
  <si>
    <t>TUS 5000-300</t>
  </si>
  <si>
    <t>TUS 7500-25</t>
  </si>
  <si>
    <t>TUS 7500-38,1</t>
  </si>
  <si>
    <t>TUS 7500-50</t>
  </si>
  <si>
    <t>TUS 7500-63,5</t>
  </si>
  <si>
    <t>TUS 7500-80</t>
  </si>
  <si>
    <t>TUS 7500-100</t>
  </si>
  <si>
    <t>TUS 7500-125</t>
  </si>
  <si>
    <t>TUS 7500-160</t>
  </si>
  <si>
    <t>TUS 7500-200</t>
  </si>
  <si>
    <t>TUS 7500-250</t>
  </si>
  <si>
    <t>TUS 7500-300</t>
  </si>
  <si>
    <t>TUR 10000-25</t>
  </si>
  <si>
    <t>TUR 10000-38,1</t>
  </si>
  <si>
    <t>TUR 10000-50</t>
  </si>
  <si>
    <t>TUR 10000-63,5</t>
  </si>
  <si>
    <t>TUR 10000-80</t>
  </si>
  <si>
    <t>TUR 10000-100</t>
  </si>
  <si>
    <t>TUR 10000-125</t>
  </si>
  <si>
    <t>TUR 10000-160</t>
  </si>
  <si>
    <t>TUR 10000-200</t>
  </si>
  <si>
    <t>TUR 10000-250</t>
  </si>
  <si>
    <t>TUR 10000-300</t>
  </si>
  <si>
    <t>CU4, CX, K, LCF, XG, R12, R15, TL, TUS, TUR inlagda</t>
  </si>
  <si>
    <t>Polytrop kurva</t>
  </si>
  <si>
    <t>Förskjutning för polytropa värden</t>
  </si>
  <si>
    <t>Polytropic</t>
  </si>
  <si>
    <t>Förskjutningsfaktor</t>
  </si>
  <si>
    <t>Väljer y-värden att plotta</t>
  </si>
  <si>
    <t>Förskjutning 3 rader</t>
  </si>
  <si>
    <t>Förskjutning 0 rader</t>
  </si>
  <si>
    <t xml:space="preserve">Isothermal </t>
  </si>
  <si>
    <t>Polytropic force at 20 °C</t>
  </si>
  <si>
    <t>Polytropic force at estimated running temperature</t>
  </si>
  <si>
    <t>XF</t>
  </si>
  <si>
    <t>XF 750-10</t>
  </si>
  <si>
    <t>XF 750-13</t>
  </si>
  <si>
    <t>XF 750-16</t>
  </si>
  <si>
    <t>XF 750-19</t>
  </si>
  <si>
    <t>XF 750-25</t>
  </si>
  <si>
    <t>XF 750-32</t>
  </si>
  <si>
    <t>XF 750-38</t>
  </si>
  <si>
    <t>XF 750-50</t>
  </si>
  <si>
    <t>XF 750-63</t>
  </si>
  <si>
    <t>XF 750-75</t>
  </si>
  <si>
    <t>XF 750-80</t>
  </si>
  <si>
    <t>XF 750-100</t>
  </si>
  <si>
    <t>XF 750-125</t>
  </si>
  <si>
    <t>XF 1000-13</t>
  </si>
  <si>
    <t>XF 1000-16</t>
  </si>
  <si>
    <t>XF 1000-19</t>
  </si>
  <si>
    <t>XF 1000-25</t>
  </si>
  <si>
    <t>XF 1000-32</t>
  </si>
  <si>
    <t>XF 1000-38</t>
  </si>
  <si>
    <t>XF 1000-50</t>
  </si>
  <si>
    <t>XF 1000-63</t>
  </si>
  <si>
    <t>XF 1000-75</t>
  </si>
  <si>
    <t>XF 1000-80</t>
  </si>
  <si>
    <t>XF 1000-100</t>
  </si>
  <si>
    <t>XF 1000-125</t>
  </si>
  <si>
    <t>XF 1500-13</t>
  </si>
  <si>
    <t>XF 1500-16</t>
  </si>
  <si>
    <t>XF 1500-19</t>
  </si>
  <si>
    <t>XF 1500-25</t>
  </si>
  <si>
    <t>XF 1500-32</t>
  </si>
  <si>
    <t>XF 1500-38</t>
  </si>
  <si>
    <t>XF 1500-50</t>
  </si>
  <si>
    <t>XF 1500-63</t>
  </si>
  <si>
    <t>XF 1500-75</t>
  </si>
  <si>
    <t>XF 1500-80</t>
  </si>
  <si>
    <t>XF 1500-100</t>
  </si>
  <si>
    <t>XF 1500-125</t>
  </si>
  <si>
    <t>XF 2400-16</t>
  </si>
  <si>
    <t>XF 2400-19</t>
  </si>
  <si>
    <t>XF 2400-25</t>
  </si>
  <si>
    <t>XF 2400-32</t>
  </si>
  <si>
    <t>XF 2400-38</t>
  </si>
  <si>
    <t>XF 2400-50</t>
  </si>
  <si>
    <t>XF 2400-63</t>
  </si>
  <si>
    <t>XF 2400-75</t>
  </si>
  <si>
    <t>XF 2400-80</t>
  </si>
  <si>
    <t>XF 2400-100</t>
  </si>
  <si>
    <t>XF 2400-125</t>
  </si>
  <si>
    <t>Kopia av X-data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</si>
</sst>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0.0"/>
    <numFmt numFmtId="165" formatCode="0.000000"/>
    <numFmt numFmtId="166" formatCode="0.00000"/>
    <numFmt numFmtId="167" formatCode="0.0000"/>
    <numFmt numFmtId="168" formatCode="0.00000000"/>
  </numFmts>
  <fonts count="2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CC00CC"/>
      <name val="Arial"/>
      <family val="2"/>
    </font>
    <font>
      <b/>
      <sz val="11"/>
      <color rgb="FFFF0000"/>
      <name val="Arial"/>
      <family val="2"/>
    </font>
    <font>
      <b/>
      <sz val="11"/>
      <color rgb="FFCC00CC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i/>
      <sz val="1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NumberFormat="1"/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0" fillId="4" borderId="0" xfId="0" applyNumberFormat="1" applyFill="1"/>
    <xf numFmtId="0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right"/>
    </xf>
    <xf numFmtId="0" fontId="0" fillId="4" borderId="7" xfId="0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7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5" borderId="0" xfId="0" applyFill="1"/>
    <xf numFmtId="0" fontId="11" fillId="5" borderId="0" xfId="7" applyFont="1" applyFill="1" applyBorder="1" applyAlignment="1" applyProtection="1">
      <alignment horizontal="left"/>
      <protection locked="0"/>
    </xf>
    <xf numFmtId="0" fontId="12" fillId="5" borderId="0" xfId="7" applyNumberFormat="1" applyFont="1" applyFill="1" applyProtection="1">
      <protection locked="0"/>
    </xf>
    <xf numFmtId="0" fontId="12" fillId="5" borderId="0" xfId="7" applyFont="1" applyFill="1" applyProtection="1">
      <protection locked="0"/>
    </xf>
    <xf numFmtId="0" fontId="12" fillId="5" borderId="0" xfId="7" applyFont="1" applyFill="1" applyAlignment="1" applyProtection="1">
      <alignment horizontal="center"/>
      <protection locked="0"/>
    </xf>
    <xf numFmtId="0" fontId="11" fillId="0" borderId="0" xfId="7" applyFont="1" applyFill="1" applyAlignment="1" applyProtection="1">
      <alignment horizontal="center"/>
      <protection locked="0"/>
    </xf>
    <xf numFmtId="0" fontId="13" fillId="0" borderId="0" xfId="7" applyFont="1" applyFill="1" applyBorder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center"/>
      <protection locked="0"/>
    </xf>
    <xf numFmtId="0" fontId="13" fillId="0" borderId="0" xfId="7" applyFont="1" applyFill="1" applyAlignment="1" applyProtection="1">
      <alignment horizontal="center"/>
      <protection locked="0"/>
    </xf>
    <xf numFmtId="0" fontId="13" fillId="5" borderId="0" xfId="7" applyFont="1" applyFill="1" applyAlignment="1" applyProtection="1">
      <alignment horizontal="center"/>
      <protection locked="0"/>
    </xf>
    <xf numFmtId="0" fontId="14" fillId="0" borderId="0" xfId="7" applyFont="1" applyFill="1" applyBorder="1" applyAlignment="1" applyProtection="1">
      <alignment horizontal="center"/>
      <protection locked="0"/>
    </xf>
    <xf numFmtId="0" fontId="15" fillId="0" borderId="0" xfId="7" applyFont="1" applyFill="1" applyBorder="1" applyAlignment="1" applyProtection="1">
      <alignment horizontal="center"/>
      <protection locked="0"/>
    </xf>
    <xf numFmtId="0" fontId="11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5" borderId="0" xfId="7" applyFont="1" applyFill="1" applyProtection="1">
      <protection locked="0"/>
    </xf>
    <xf numFmtId="0" fontId="12" fillId="0" borderId="0" xfId="7" applyFont="1" applyFill="1" applyBorder="1" applyAlignment="1" applyProtection="1">
      <alignment horizontal="center"/>
      <protection locked="0"/>
    </xf>
    <xf numFmtId="0" fontId="12" fillId="0" borderId="0" xfId="7" applyFont="1" applyFill="1" applyBorder="1" applyProtection="1">
      <protection locked="0"/>
    </xf>
    <xf numFmtId="0" fontId="12" fillId="0" borderId="0" xfId="7" applyFont="1" applyFill="1" applyProtection="1">
      <protection locked="0"/>
    </xf>
    <xf numFmtId="0" fontId="16" fillId="5" borderId="0" xfId="7" applyFont="1" applyFill="1" applyAlignment="1" applyProtection="1">
      <alignment horizontal="center"/>
      <protection locked="0"/>
    </xf>
    <xf numFmtId="0" fontId="11" fillId="0" borderId="0" xfId="7" applyFont="1" applyFill="1" applyBorder="1" applyAlignment="1" applyProtection="1">
      <alignment horizontal="left"/>
      <protection locked="0"/>
    </xf>
    <xf numFmtId="0" fontId="12" fillId="0" borderId="0" xfId="7" applyNumberFormat="1" applyFont="1" applyFill="1" applyProtection="1">
      <protection locked="0"/>
    </xf>
    <xf numFmtId="164" fontId="7" fillId="0" borderId="0" xfId="7" applyNumberFormat="1" applyFill="1" applyBorder="1" applyAlignment="1" applyProtection="1">
      <alignment horizontal="center"/>
      <protection locked="0"/>
    </xf>
    <xf numFmtId="165" fontId="12" fillId="0" borderId="0" xfId="7" applyNumberFormat="1" applyFont="1" applyFill="1" applyBorder="1" applyAlignment="1" applyProtection="1">
      <alignment horizontal="center"/>
      <protection locked="0"/>
    </xf>
    <xf numFmtId="165" fontId="13" fillId="0" borderId="0" xfId="7" applyNumberFormat="1" applyFont="1" applyFill="1" applyBorder="1" applyAlignment="1" applyProtection="1">
      <alignment horizontal="center"/>
      <protection locked="0"/>
    </xf>
    <xf numFmtId="165" fontId="14" fillId="0" borderId="0" xfId="7" applyNumberFormat="1" applyFont="1" applyFill="1" applyBorder="1" applyAlignment="1" applyProtection="1">
      <alignment horizontal="center"/>
      <protection locked="0"/>
    </xf>
    <xf numFmtId="165" fontId="15" fillId="0" borderId="0" xfId="7" applyNumberFormat="1" applyFont="1" applyFill="1" applyBorder="1" applyAlignment="1" applyProtection="1">
      <alignment horizontal="center"/>
      <protection locked="0"/>
    </xf>
    <xf numFmtId="165" fontId="11" fillId="0" borderId="0" xfId="7" applyNumberFormat="1" applyFont="1" applyFill="1" applyBorder="1" applyAlignment="1" applyProtection="1">
      <alignment horizontal="left"/>
      <protection locked="0"/>
    </xf>
    <xf numFmtId="165" fontId="11" fillId="0" borderId="0" xfId="7" applyNumberFormat="1" applyFont="1" applyFill="1" applyBorder="1" applyAlignment="1" applyProtection="1">
      <alignment horizontal="center"/>
      <protection locked="0"/>
    </xf>
    <xf numFmtId="165" fontId="15" fillId="0" borderId="0" xfId="7" applyNumberFormat="1" applyFont="1" applyFill="1" applyBorder="1" applyProtection="1">
      <protection locked="0"/>
    </xf>
    <xf numFmtId="0" fontId="12" fillId="4" borderId="0" xfId="7" applyFont="1" applyFill="1" applyBorder="1" applyAlignment="1" applyProtection="1">
      <alignment horizontal="center"/>
      <protection locked="0"/>
    </xf>
    <xf numFmtId="0" fontId="12" fillId="4" borderId="0" xfId="7" applyFont="1" applyFill="1" applyBorder="1" applyProtection="1">
      <protection locked="0"/>
    </xf>
    <xf numFmtId="0" fontId="16" fillId="0" borderId="0" xfId="7" applyFont="1" applyFill="1" applyAlignment="1" applyProtection="1">
      <alignment horizontal="center"/>
      <protection locked="0"/>
    </xf>
    <xf numFmtId="0" fontId="11" fillId="0" borderId="0" xfId="7" applyNumberFormat="1" applyFont="1" applyFill="1" applyBorder="1" applyAlignment="1" applyProtection="1">
      <alignment horizontal="left"/>
      <protection locked="0"/>
    </xf>
    <xf numFmtId="0" fontId="13" fillId="0" borderId="0" xfId="7" applyNumberFormat="1" applyFont="1" applyFill="1" applyProtection="1">
      <protection locked="0"/>
    </xf>
    <xf numFmtId="0" fontId="6" fillId="0" borderId="0" xfId="7" applyFont="1" applyFill="1" applyAlignment="1" applyProtection="1">
      <alignment horizontal="center"/>
      <protection locked="0"/>
    </xf>
    <xf numFmtId="0" fontId="11" fillId="0" borderId="0" xfId="7" applyFont="1" applyFill="1" applyAlignment="1" applyProtection="1">
      <alignment horizontal="center"/>
    </xf>
    <xf numFmtId="0" fontId="13" fillId="0" borderId="0" xfId="7" applyFont="1" applyFill="1" applyBorder="1" applyAlignment="1" applyProtection="1">
      <alignment horizontal="center"/>
    </xf>
    <xf numFmtId="0" fontId="12" fillId="4" borderId="0" xfId="7" applyFont="1" applyFill="1" applyAlignment="1" applyProtection="1">
      <alignment horizontal="center"/>
      <protection locked="0"/>
    </xf>
    <xf numFmtId="0" fontId="13" fillId="0" borderId="0" xfId="7" applyFont="1" applyFill="1" applyAlignment="1" applyProtection="1">
      <alignment horizontal="left"/>
      <protection locked="0"/>
    </xf>
    <xf numFmtId="0" fontId="17" fillId="0" borderId="0" xfId="7" applyFont="1" applyFill="1" applyAlignment="1" applyProtection="1">
      <alignment horizontal="center"/>
      <protection locked="0"/>
    </xf>
    <xf numFmtId="0" fontId="15" fillId="0" borderId="0" xfId="7" applyFont="1" applyFill="1" applyBorder="1" applyAlignment="1" applyProtection="1">
      <alignment horizontal="left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1" fillId="0" borderId="0" xfId="7" applyFont="1" applyBorder="1" applyAlignment="1" applyProtection="1">
      <alignment horizontal="left"/>
      <protection locked="0"/>
    </xf>
    <xf numFmtId="0" fontId="13" fillId="0" borderId="0" xfId="7" applyFont="1" applyFill="1" applyProtection="1">
      <protection locked="0"/>
    </xf>
    <xf numFmtId="0" fontId="6" fillId="4" borderId="0" xfId="7" applyFont="1" applyFill="1" applyAlignment="1" applyProtection="1">
      <alignment horizontal="center"/>
      <protection locked="0"/>
    </xf>
    <xf numFmtId="0" fontId="17" fillId="0" borderId="0" xfId="7" applyFont="1" applyFill="1" applyBorder="1" applyAlignment="1" applyProtection="1">
      <alignment horizontal="center"/>
      <protection locked="0"/>
    </xf>
    <xf numFmtId="0" fontId="18" fillId="0" borderId="0" xfId="7" applyNumberFormat="1" applyFont="1" applyFill="1" applyAlignment="1" applyProtection="1">
      <alignment horizontal="right"/>
      <protection locked="0"/>
    </xf>
    <xf numFmtId="0" fontId="6" fillId="0" borderId="0" xfId="7" applyNumberFormat="1" applyFont="1" applyFill="1" applyAlignment="1" applyProtection="1">
      <alignment horizontal="right"/>
      <protection locked="0"/>
    </xf>
    <xf numFmtId="0" fontId="6" fillId="0" borderId="0" xfId="7" applyFont="1" applyFill="1" applyAlignment="1" applyProtection="1">
      <alignment horizontal="right"/>
      <protection locked="0"/>
    </xf>
    <xf numFmtId="0" fontId="11" fillId="0" borderId="0" xfId="7" applyNumberFormat="1" applyFont="1" applyFill="1" applyBorder="1" applyAlignment="1" applyProtection="1">
      <alignment horizontal="right"/>
      <protection locked="0"/>
    </xf>
    <xf numFmtId="0" fontId="13" fillId="0" borderId="0" xfId="7" applyNumberFormat="1" applyFont="1" applyFill="1" applyAlignment="1" applyProtection="1">
      <alignment horizontal="right"/>
      <protection locked="0"/>
    </xf>
    <xf numFmtId="0" fontId="12" fillId="0" borderId="7" xfId="7" applyFont="1" applyFill="1" applyBorder="1" applyAlignment="1" applyProtection="1">
      <alignment horizontal="center"/>
      <protection locked="0"/>
    </xf>
    <xf numFmtId="0" fontId="12" fillId="7" borderId="7" xfId="7" applyFont="1" applyFill="1" applyBorder="1" applyAlignment="1" applyProtection="1">
      <alignment horizontal="center"/>
      <protection locked="0"/>
    </xf>
    <xf numFmtId="1" fontId="12" fillId="7" borderId="7" xfId="7" applyNumberFormat="1" applyFont="1" applyFill="1" applyBorder="1" applyAlignment="1" applyProtection="1">
      <alignment horizontal="center"/>
      <protection locked="0"/>
    </xf>
    <xf numFmtId="2" fontId="11" fillId="7" borderId="4" xfId="7" applyNumberFormat="1" applyFont="1" applyFill="1" applyBorder="1" applyAlignment="1" applyProtection="1">
      <alignment horizontal="center"/>
      <protection locked="0"/>
    </xf>
    <xf numFmtId="2" fontId="13" fillId="7" borderId="7" xfId="7" applyNumberFormat="1" applyFont="1" applyFill="1" applyBorder="1" applyAlignment="1" applyProtection="1">
      <alignment horizontal="center"/>
      <protection locked="0"/>
    </xf>
    <xf numFmtId="164" fontId="12" fillId="4" borderId="6" xfId="7" applyNumberFormat="1" applyFont="1" applyFill="1" applyBorder="1" applyAlignment="1" applyProtection="1">
      <alignment horizontal="center"/>
      <protection locked="0"/>
    </xf>
    <xf numFmtId="164" fontId="12" fillId="4" borderId="7" xfId="7" applyNumberFormat="1" applyFont="1" applyFill="1" applyBorder="1" applyAlignment="1" applyProtection="1">
      <alignment horizontal="center"/>
      <protection locked="0"/>
    </xf>
    <xf numFmtId="2" fontId="12" fillId="4" borderId="7" xfId="7" applyNumberFormat="1" applyFont="1" applyFill="1" applyBorder="1" applyAlignment="1" applyProtection="1">
      <alignment horizontal="center"/>
      <protection locked="0"/>
    </xf>
    <xf numFmtId="164" fontId="13" fillId="0" borderId="7" xfId="7" applyNumberFormat="1" applyFont="1" applyFill="1" applyBorder="1" applyAlignment="1" applyProtection="1">
      <alignment horizontal="center"/>
      <protection locked="0"/>
    </xf>
    <xf numFmtId="1" fontId="13" fillId="0" borderId="7" xfId="7" applyNumberFormat="1" applyFont="1" applyFill="1" applyBorder="1" applyAlignment="1" applyProtection="1">
      <alignment horizontal="center"/>
      <protection locked="0"/>
    </xf>
    <xf numFmtId="1" fontId="14" fillId="0" borderId="7" xfId="7" applyNumberFormat="1" applyFont="1" applyFill="1" applyBorder="1" applyAlignment="1" applyProtection="1">
      <alignment horizontal="center"/>
      <protection locked="0"/>
    </xf>
    <xf numFmtId="164" fontId="15" fillId="0" borderId="6" xfId="7" applyNumberFormat="1" applyFont="1" applyFill="1" applyBorder="1" applyAlignment="1" applyProtection="1">
      <alignment horizontal="center"/>
      <protection locked="0"/>
    </xf>
    <xf numFmtId="164" fontId="15" fillId="0" borderId="7" xfId="7" applyNumberFormat="1" applyFont="1" applyFill="1" applyBorder="1" applyAlignment="1" applyProtection="1">
      <alignment horizontal="center"/>
      <protection locked="0"/>
    </xf>
    <xf numFmtId="1" fontId="11" fillId="0" borderId="6" xfId="7" applyNumberFormat="1" applyFont="1" applyFill="1" applyBorder="1" applyAlignment="1" applyProtection="1">
      <alignment horizontal="center"/>
      <protection locked="0"/>
    </xf>
    <xf numFmtId="1" fontId="11" fillId="0" borderId="7" xfId="7" applyNumberFormat="1" applyFont="1" applyFill="1" applyBorder="1" applyAlignment="1" applyProtection="1">
      <alignment horizontal="center"/>
      <protection locked="0"/>
    </xf>
    <xf numFmtId="0" fontId="7" fillId="4" borderId="0" xfId="7" applyFill="1" applyBorder="1" applyAlignment="1" applyProtection="1">
      <alignment horizontal="left"/>
      <protection locked="0"/>
    </xf>
    <xf numFmtId="0" fontId="16" fillId="0" borderId="7" xfId="7" applyFont="1" applyFill="1" applyBorder="1" applyAlignment="1" applyProtection="1">
      <alignment horizontal="center"/>
      <protection locked="0"/>
    </xf>
    <xf numFmtId="0" fontId="19" fillId="0" borderId="0" xfId="7" applyNumberFormat="1" applyFont="1" applyFill="1" applyProtection="1">
      <protection locked="0"/>
    </xf>
    <xf numFmtId="1" fontId="13" fillId="0" borderId="0" xfId="7" applyNumberFormat="1" applyFont="1" applyFill="1" applyBorder="1" applyAlignment="1" applyProtection="1">
      <alignment horizontal="center"/>
      <protection locked="0"/>
    </xf>
    <xf numFmtId="1" fontId="14" fillId="0" borderId="0" xfId="7" applyNumberFormat="1" applyFont="1" applyFill="1" applyBorder="1" applyAlignment="1" applyProtection="1">
      <alignment horizontal="center"/>
      <protection locked="0"/>
    </xf>
    <xf numFmtId="164" fontId="15" fillId="0" borderId="0" xfId="7" applyNumberFormat="1" applyFont="1" applyFill="1" applyBorder="1" applyAlignment="1" applyProtection="1">
      <alignment horizontal="center"/>
      <protection locked="0"/>
    </xf>
    <xf numFmtId="1" fontId="11" fillId="0" borderId="0" xfId="7" applyNumberFormat="1" applyFont="1" applyFill="1" applyBorder="1" applyAlignment="1" applyProtection="1">
      <alignment horizontal="center"/>
      <protection locked="0"/>
    </xf>
    <xf numFmtId="0" fontId="6" fillId="4" borderId="0" xfId="7" applyFont="1" applyFill="1" applyBorder="1" applyAlignment="1" applyProtection="1">
      <alignment horizontal="center"/>
      <protection locked="0"/>
    </xf>
    <xf numFmtId="0" fontId="13" fillId="4" borderId="0" xfId="7" applyFont="1" applyFill="1" applyBorder="1" applyProtection="1">
      <protection locked="0"/>
    </xf>
    <xf numFmtId="0" fontId="11" fillId="0" borderId="0" xfId="7" applyFont="1" applyBorder="1" applyAlignment="1" applyProtection="1">
      <alignment horizontal="right"/>
      <protection locked="0"/>
    </xf>
    <xf numFmtId="0" fontId="11" fillId="7" borderId="4" xfId="7" applyFont="1" applyFill="1" applyBorder="1" applyAlignment="1" applyProtection="1">
      <alignment horizontal="center"/>
      <protection locked="0"/>
    </xf>
    <xf numFmtId="1" fontId="13" fillId="7" borderId="7" xfId="7" applyNumberFormat="1" applyFont="1" applyFill="1" applyBorder="1" applyAlignment="1" applyProtection="1">
      <alignment horizontal="center"/>
      <protection locked="0"/>
    </xf>
    <xf numFmtId="165" fontId="7" fillId="4" borderId="6" xfId="7" applyNumberFormat="1" applyFill="1" applyBorder="1" applyAlignment="1" applyProtection="1">
      <alignment horizontal="center"/>
      <protection locked="0"/>
    </xf>
    <xf numFmtId="2" fontId="7" fillId="4" borderId="7" xfId="7" applyNumberFormat="1" applyFill="1" applyBorder="1" applyAlignment="1" applyProtection="1">
      <alignment horizontal="center"/>
      <protection locked="0"/>
    </xf>
    <xf numFmtId="165" fontId="12" fillId="4" borderId="6" xfId="7" applyNumberFormat="1" applyFont="1" applyFill="1" applyBorder="1" applyAlignment="1" applyProtection="1">
      <alignment horizontal="center"/>
      <protection locked="0"/>
    </xf>
    <xf numFmtId="0" fontId="13" fillId="4" borderId="0" xfId="7" applyFont="1" applyFill="1" applyAlignment="1" applyProtection="1">
      <alignment horizontal="center"/>
      <protection locked="0"/>
    </xf>
    <xf numFmtId="0" fontId="13" fillId="0" borderId="0" xfId="7" applyFont="1" applyFill="1" applyAlignment="1" applyProtection="1">
      <protection locked="0"/>
    </xf>
    <xf numFmtId="166" fontId="6" fillId="4" borderId="6" xfId="7" applyNumberFormat="1" applyFont="1" applyFill="1" applyBorder="1" applyAlignment="1" applyProtection="1">
      <alignment horizontal="center"/>
      <protection locked="0"/>
    </xf>
    <xf numFmtId="166" fontId="6" fillId="4" borderId="7" xfId="7" applyNumberFormat="1" applyFont="1" applyFill="1" applyBorder="1" applyAlignment="1" applyProtection="1">
      <alignment horizontal="center"/>
      <protection locked="0"/>
    </xf>
    <xf numFmtId="0" fontId="6" fillId="4" borderId="6" xfId="7" applyFont="1" applyFill="1" applyBorder="1" applyAlignment="1" applyProtection="1">
      <alignment horizontal="center"/>
      <protection locked="0"/>
    </xf>
    <xf numFmtId="0" fontId="6" fillId="4" borderId="7" xfId="7" applyFont="1" applyFill="1" applyBorder="1" applyAlignment="1" applyProtection="1">
      <alignment horizontal="center"/>
      <protection locked="0"/>
    </xf>
    <xf numFmtId="0" fontId="15" fillId="0" borderId="0" xfId="7" applyFont="1" applyFill="1" applyAlignment="1" applyProtection="1">
      <alignment horizontal="center"/>
      <protection locked="0"/>
    </xf>
    <xf numFmtId="164" fontId="13" fillId="0" borderId="0" xfId="7" applyNumberFormat="1" applyFont="1" applyFill="1" applyAlignment="1" applyProtection="1">
      <alignment horizontal="right"/>
      <protection locked="0"/>
    </xf>
    <xf numFmtId="167" fontId="12" fillId="4" borderId="6" xfId="7" applyNumberFormat="1" applyFont="1" applyFill="1" applyBorder="1" applyAlignment="1" applyProtection="1">
      <alignment horizontal="center"/>
      <protection locked="0"/>
    </xf>
    <xf numFmtId="167" fontId="12" fillId="4" borderId="7" xfId="7" applyNumberFormat="1" applyFont="1" applyFill="1" applyBorder="1" applyAlignment="1" applyProtection="1">
      <alignment horizontal="center"/>
      <protection locked="0"/>
    </xf>
    <xf numFmtId="0" fontId="11" fillId="0" borderId="0" xfId="7" applyFont="1" applyFill="1" applyBorder="1" applyAlignment="1" applyProtection="1">
      <alignment horizontal="right"/>
      <protection locked="0"/>
    </xf>
    <xf numFmtId="0" fontId="16" fillId="0" borderId="0" xfId="7" applyNumberFormat="1" applyFont="1" applyFill="1" applyAlignment="1" applyProtection="1">
      <alignment horizontal="right"/>
      <protection locked="0"/>
    </xf>
    <xf numFmtId="1" fontId="12" fillId="0" borderId="0" xfId="7" applyNumberFormat="1" applyFont="1" applyFill="1" applyBorder="1" applyAlignment="1" applyProtection="1">
      <alignment horizontal="center"/>
      <protection locked="0"/>
    </xf>
    <xf numFmtId="0" fontId="11" fillId="0" borderId="0" xfId="7" applyFont="1" applyFill="1" applyBorder="1" applyAlignment="1" applyProtection="1">
      <alignment horizontal="center"/>
      <protection locked="0"/>
    </xf>
    <xf numFmtId="167" fontId="12" fillId="4" borderId="0" xfId="7" applyNumberFormat="1" applyFont="1" applyFill="1" applyBorder="1" applyAlignment="1" applyProtection="1">
      <alignment horizontal="center"/>
      <protection locked="0"/>
    </xf>
    <xf numFmtId="164" fontId="13" fillId="0" borderId="0" xfId="7" applyNumberFormat="1" applyFont="1" applyFill="1" applyBorder="1" applyAlignment="1" applyProtection="1">
      <alignment horizontal="center"/>
      <protection locked="0"/>
    </xf>
    <xf numFmtId="0" fontId="7" fillId="0" borderId="0" xfId="7" applyFill="1" applyBorder="1" applyAlignment="1" applyProtection="1">
      <alignment horizontal="left"/>
      <protection locked="0"/>
    </xf>
    <xf numFmtId="0" fontId="12" fillId="4" borderId="6" xfId="7" applyFont="1" applyFill="1" applyBorder="1" applyAlignment="1" applyProtection="1">
      <alignment horizontal="center"/>
      <protection locked="0"/>
    </xf>
    <xf numFmtId="0" fontId="12" fillId="4" borderId="7" xfId="7" applyFont="1" applyFill="1" applyBorder="1" applyAlignment="1" applyProtection="1">
      <alignment horizontal="center"/>
      <protection locked="0"/>
    </xf>
    <xf numFmtId="0" fontId="13" fillId="0" borderId="0" xfId="7" applyNumberFormat="1" applyFont="1" applyFill="1" applyAlignment="1" applyProtection="1">
      <alignment horizontal="center"/>
      <protection locked="0"/>
    </xf>
    <xf numFmtId="168" fontId="12" fillId="4" borderId="6" xfId="7" applyNumberFormat="1" applyFont="1" applyFill="1" applyBorder="1" applyAlignment="1" applyProtection="1">
      <alignment horizontal="center"/>
      <protection locked="0"/>
    </xf>
    <xf numFmtId="168" fontId="12" fillId="4" borderId="7" xfId="7" applyNumberFormat="1" applyFont="1" applyFill="1" applyBorder="1" applyAlignment="1" applyProtection="1">
      <alignment horizontal="center"/>
      <protection locked="0"/>
    </xf>
    <xf numFmtId="0" fontId="11" fillId="0" borderId="0" xfId="7" applyNumberFormat="1" applyFont="1" applyFill="1" applyAlignment="1" applyProtection="1">
      <alignment horizontal="right"/>
      <protection locked="0"/>
    </xf>
    <xf numFmtId="0" fontId="12" fillId="4" borderId="0" xfId="7" applyFont="1" applyFill="1" applyAlignment="1" applyProtection="1">
      <alignment horizontal="left"/>
      <protection locked="0"/>
    </xf>
    <xf numFmtId="0" fontId="11" fillId="0" borderId="0" xfId="7" applyNumberFormat="1" applyFont="1" applyFill="1" applyProtection="1">
      <protection locked="0"/>
    </xf>
    <xf numFmtId="165" fontId="12" fillId="4" borderId="0" xfId="7" applyNumberFormat="1" applyFont="1" applyFill="1" applyBorder="1" applyAlignment="1" applyProtection="1">
      <alignment horizontal="center"/>
      <protection locked="0"/>
    </xf>
    <xf numFmtId="2" fontId="12" fillId="4" borderId="0" xfId="7" applyNumberFormat="1" applyFont="1" applyFill="1" applyBorder="1" applyAlignment="1" applyProtection="1">
      <alignment horizontal="center"/>
      <protection locked="0"/>
    </xf>
    <xf numFmtId="0" fontId="6" fillId="4" borderId="8" xfId="7" applyFont="1" applyFill="1" applyBorder="1" applyAlignment="1" applyProtection="1">
      <alignment horizontal="center"/>
      <protection locked="0"/>
    </xf>
    <xf numFmtId="167" fontId="6" fillId="4" borderId="6" xfId="7" applyNumberFormat="1" applyFont="1" applyFill="1" applyBorder="1" applyAlignment="1" applyProtection="1">
      <alignment horizontal="center"/>
      <protection locked="0"/>
    </xf>
    <xf numFmtId="167" fontId="6" fillId="4" borderId="7" xfId="7" applyNumberFormat="1" applyFont="1" applyFill="1" applyBorder="1" applyAlignment="1" applyProtection="1">
      <alignment horizontal="center"/>
      <protection locked="0"/>
    </xf>
    <xf numFmtId="0" fontId="16" fillId="0" borderId="0" xfId="7" applyFont="1" applyFill="1" applyBorder="1" applyAlignment="1" applyProtection="1">
      <alignment horizontal="left"/>
      <protection locked="0"/>
    </xf>
    <xf numFmtId="0" fontId="6" fillId="4" borderId="6" xfId="7" quotePrefix="1" applyFont="1" applyFill="1" applyBorder="1" applyAlignment="1" applyProtection="1">
      <alignment horizontal="center"/>
      <protection locked="0"/>
    </xf>
    <xf numFmtId="0" fontId="6" fillId="4" borderId="7" xfId="7" quotePrefix="1" applyFont="1" applyFill="1" applyBorder="1" applyAlignment="1" applyProtection="1">
      <alignment horizontal="center"/>
      <protection locked="0"/>
    </xf>
    <xf numFmtId="0" fontId="12" fillId="4" borderId="0" xfId="7" applyFont="1" applyFill="1" applyProtection="1">
      <protection locked="0"/>
    </xf>
    <xf numFmtId="0" fontId="0" fillId="8" borderId="0" xfId="0" applyFill="1"/>
    <xf numFmtId="0" fontId="0" fillId="8" borderId="0" xfId="0" applyNumberFormat="1" applyFill="1"/>
    <xf numFmtId="0" fontId="0" fillId="9" borderId="0" xfId="0" applyFill="1"/>
    <xf numFmtId="0" fontId="0" fillId="10" borderId="0" xfId="0" applyFill="1"/>
    <xf numFmtId="0" fontId="0" fillId="0" borderId="4" xfId="0" applyBorder="1"/>
    <xf numFmtId="0" fontId="0" fillId="0" borderId="6" xfId="0" applyBorder="1"/>
    <xf numFmtId="2" fontId="0" fillId="4" borderId="0" xfId="0" applyNumberFormat="1" applyFill="1"/>
    <xf numFmtId="0" fontId="3" fillId="0" borderId="0" xfId="0" applyFont="1" applyFill="1" applyBorder="1"/>
    <xf numFmtId="164" fontId="0" fillId="4" borderId="7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Border="1"/>
    <xf numFmtId="14" fontId="0" fillId="0" borderId="0" xfId="0" applyNumberFormat="1" applyFill="1"/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ill="1" applyProtection="1">
      <protection hidden="1"/>
    </xf>
    <xf numFmtId="0" fontId="7" fillId="6" borderId="0" xfId="0" applyFont="1" applyFill="1" applyProtection="1">
      <protection hidden="1"/>
    </xf>
    <xf numFmtId="0" fontId="2" fillId="0" borderId="0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" fontId="7" fillId="3" borderId="0" xfId="0" applyNumberFormat="1" applyFont="1" applyFill="1" applyAlignment="1" applyProtection="1">
      <alignment horizontal="left"/>
      <protection hidden="1"/>
    </xf>
    <xf numFmtId="0" fontId="21" fillId="3" borderId="0" xfId="0" applyFont="1" applyFill="1" applyProtection="1">
      <protection hidden="1"/>
    </xf>
    <xf numFmtId="0" fontId="4" fillId="3" borderId="0" xfId="7" applyFont="1" applyFill="1" applyAlignment="1" applyProtection="1">
      <alignment horizontal="left"/>
      <protection hidden="1"/>
    </xf>
    <xf numFmtId="0" fontId="4" fillId="3" borderId="0" xfId="7" applyFont="1" applyFill="1" applyAlignment="1" applyProtection="1">
      <alignment horizontal="center"/>
      <protection hidden="1"/>
    </xf>
    <xf numFmtId="0" fontId="10" fillId="3" borderId="0" xfId="0" applyFont="1" applyFill="1" applyProtection="1">
      <protection hidden="1"/>
    </xf>
    <xf numFmtId="0" fontId="0" fillId="0" borderId="0" xfId="0" quotePrefix="1" applyFill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164" fontId="0" fillId="0" borderId="0" xfId="0" applyNumberFormat="1" applyFill="1" applyProtection="1">
      <protection hidden="1"/>
    </xf>
    <xf numFmtId="164" fontId="2" fillId="0" borderId="0" xfId="0" applyNumberFormat="1" applyFont="1" applyFill="1" applyProtection="1">
      <protection hidden="1"/>
    </xf>
    <xf numFmtId="0" fontId="6" fillId="3" borderId="0" xfId="0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20" fillId="3" borderId="0" xfId="0" applyFont="1" applyFill="1" applyProtection="1">
      <protection hidden="1"/>
    </xf>
    <xf numFmtId="164" fontId="7" fillId="6" borderId="0" xfId="0" applyNumberFormat="1" applyFont="1" applyFill="1" applyProtection="1">
      <protection hidden="1"/>
    </xf>
    <xf numFmtId="0" fontId="4" fillId="6" borderId="0" xfId="0" applyFont="1" applyFill="1" applyProtection="1">
      <protection hidden="1"/>
    </xf>
    <xf numFmtId="164" fontId="4" fillId="6" borderId="0" xfId="0" applyNumberFormat="1" applyFont="1" applyFill="1" applyProtection="1">
      <protection hidden="1"/>
    </xf>
    <xf numFmtId="0" fontId="9" fillId="3" borderId="0" xfId="0" applyFont="1" applyFill="1" applyProtection="1">
      <protection hidden="1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4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Protection="1">
      <protection hidden="1"/>
    </xf>
    <xf numFmtId="0" fontId="23" fillId="3" borderId="0" xfId="8" applyFont="1" applyFill="1" applyProtection="1">
      <protection locked="0"/>
    </xf>
    <xf numFmtId="0" fontId="7" fillId="12" borderId="0" xfId="0" applyFont="1" applyFill="1" applyProtection="1">
      <protection hidden="1"/>
    </xf>
    <xf numFmtId="0" fontId="7" fillId="12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3" borderId="0" xfId="7" applyFont="1" applyFill="1" applyBorder="1" applyAlignment="1" applyProtection="1">
      <protection hidden="1"/>
    </xf>
    <xf numFmtId="0" fontId="4" fillId="3" borderId="0" xfId="7" applyFont="1" applyFill="1" applyBorder="1" applyAlignment="1" applyProtection="1">
      <alignment horizontal="left"/>
      <protection hidden="1"/>
    </xf>
    <xf numFmtId="0" fontId="4" fillId="3" borderId="0" xfId="7" applyFont="1" applyFill="1" applyBorder="1" applyAlignment="1" applyProtection="1">
      <alignment horizontal="center"/>
      <protection hidden="1"/>
    </xf>
    <xf numFmtId="0" fontId="12" fillId="3" borderId="0" xfId="0" applyFont="1" applyFill="1" applyProtection="1">
      <protection hidden="1"/>
    </xf>
    <xf numFmtId="164" fontId="6" fillId="3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Protection="1">
      <protection hidden="1"/>
    </xf>
    <xf numFmtId="0" fontId="20" fillId="3" borderId="0" xfId="0" applyFont="1" applyFill="1" applyBorder="1" applyProtection="1">
      <protection hidden="1"/>
    </xf>
    <xf numFmtId="1" fontId="9" fillId="3" borderId="0" xfId="0" applyNumberFormat="1" applyFont="1" applyFill="1" applyBorder="1" applyAlignment="1" applyProtection="1">
      <alignment horizontal="left"/>
      <protection hidden="1"/>
    </xf>
    <xf numFmtId="0" fontId="20" fillId="3" borderId="0" xfId="0" applyFont="1" applyFill="1" applyBorder="1" applyAlignment="1" applyProtection="1">
      <alignment horizontal="center"/>
      <protection locked="0"/>
    </xf>
    <xf numFmtId="0" fontId="0" fillId="12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6" fillId="3" borderId="0" xfId="7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24" fillId="3" borderId="0" xfId="0" applyFont="1" applyFill="1" applyProtection="1"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12" fillId="3" borderId="0" xfId="0" applyFont="1" applyFill="1" applyAlignment="1" applyProtection="1">
      <protection hidden="1"/>
    </xf>
    <xf numFmtId="0" fontId="0" fillId="0" borderId="0" xfId="0" applyNumberFormat="1" applyFill="1"/>
    <xf numFmtId="0" fontId="0" fillId="13" borderId="0" xfId="0" applyFill="1"/>
    <xf numFmtId="14" fontId="0" fillId="0" borderId="0" xfId="0" applyNumberFormat="1"/>
    <xf numFmtId="1" fontId="0" fillId="4" borderId="7" xfId="0" applyNumberFormat="1" applyFill="1" applyBorder="1" applyAlignment="1">
      <alignment horizontal="center"/>
    </xf>
    <xf numFmtId="2" fontId="0" fillId="14" borderId="0" xfId="0" applyNumberFormat="1" applyFill="1"/>
    <xf numFmtId="0" fontId="0" fillId="14" borderId="0" xfId="0" applyFill="1"/>
    <xf numFmtId="2" fontId="0" fillId="5" borderId="0" xfId="0" applyNumberFormat="1" applyFill="1"/>
    <xf numFmtId="164" fontId="0" fillId="15" borderId="0" xfId="0" applyNumberFormat="1" applyFill="1"/>
    <xf numFmtId="1" fontId="7" fillId="6" borderId="0" xfId="0" applyNumberFormat="1" applyFont="1" applyFill="1" applyAlignment="1" applyProtection="1">
      <alignment horizontal="center"/>
      <protection hidden="1"/>
    </xf>
    <xf numFmtId="2" fontId="7" fillId="3" borderId="0" xfId="0" applyNumberFormat="1" applyFont="1" applyFill="1" applyProtection="1">
      <protection hidden="1"/>
    </xf>
    <xf numFmtId="14" fontId="13" fillId="0" borderId="0" xfId="7" applyNumberFormat="1" applyFont="1" applyFill="1" applyProtection="1">
      <protection locked="0"/>
    </xf>
  </cellXfs>
  <cellStyles count="9">
    <cellStyle name="Hyperlänk" xfId="8" builtinId="8"/>
    <cellStyle name="Indata" xfId="1" builtinId="20"/>
    <cellStyle name="Normal" xfId="0" builtinId="0"/>
    <cellStyle name="Normal 2" xfId="2"/>
    <cellStyle name="Normal 2 2" xfId="3"/>
    <cellStyle name="Normal 3" xfId="7"/>
    <cellStyle name="Procent 2" xfId="4"/>
    <cellStyle name="Tusental 2" xfId="5"/>
    <cellStyle name="Valuta 2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colors>
    <mruColors>
      <color rgb="FFFFDA00"/>
      <color rgb="FF3787B9"/>
      <color rgb="FF2793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94199726631619E-2"/>
          <c:y val="4.2634559447507762E-2"/>
          <c:w val="0.6768939857161278"/>
          <c:h val="0.86321839717985549"/>
        </c:manualLayout>
      </c:layout>
      <c:scatterChart>
        <c:scatterStyle val="lineMarker"/>
        <c:varyColors val="0"/>
        <c:ser>
          <c:idx val="1"/>
          <c:order val="0"/>
          <c:tx>
            <c:strRef>
              <c:f>Fjäderkurva!$AH$10</c:f>
              <c:strCache>
                <c:ptCount val="1"/>
                <c:pt idx="0">
                  <c:v>Isothermal force at estimated running temperature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Fjäderkurva!$M$11:$M$21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Fjäderkurva!$AH$11:$AH$21</c:f>
              <c:numCache>
                <c:formatCode>0.00</c:formatCode>
                <c:ptCount val="11"/>
                <c:pt idx="0">
                  <c:v>2.7191670794911036</c:v>
                </c:pt>
                <c:pt idx="1">
                  <c:v>2.7868476656570609</c:v>
                </c:pt>
                <c:pt idx="2">
                  <c:v>2.8579834168825413</c:v>
                </c:pt>
                <c:pt idx="3">
                  <c:v>2.9328458484495727</c:v>
                </c:pt>
                <c:pt idx="4">
                  <c:v>3.0117356893097669</c:v>
                </c:pt>
                <c:pt idx="5">
                  <c:v>3.0949869197459718</c:v>
                </c:pt>
                <c:pt idx="6">
                  <c:v>3.1829714977320611</c:v>
                </c:pt>
                <c:pt idx="7">
                  <c:v>3.2761049150495225</c:v>
                </c:pt>
                <c:pt idx="8">
                  <c:v>3.3748527582336392</c:v>
                </c:pt>
                <c:pt idx="9">
                  <c:v>3.479738492950224</c:v>
                </c:pt>
                <c:pt idx="10">
                  <c:v>3.5913527464976838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Fjäderkurva!$AG$10</c:f>
              <c:strCache>
                <c:ptCount val="1"/>
                <c:pt idx="0">
                  <c:v>Isothermal force at 20 °C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Fjäderkurva!$M$11:$M$21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Fjäderkurva!$AG$11:$AG$21</c:f>
              <c:numCache>
                <c:formatCode>0.00</c:formatCode>
                <c:ptCount val="11"/>
                <c:pt idx="0">
                  <c:v>2.65</c:v>
                </c:pt>
                <c:pt idx="1">
                  <c:v>2.7159590043923862</c:v>
                </c:pt>
                <c:pt idx="2">
                  <c:v>2.7852852852852852</c:v>
                </c:pt>
                <c:pt idx="3">
                  <c:v>2.8582434514637907</c:v>
                </c:pt>
                <c:pt idx="4">
                  <c:v>2.9351265822784809</c:v>
                </c:pt>
                <c:pt idx="5">
                  <c:v>3.0162601626016259</c:v>
                </c:pt>
                <c:pt idx="6">
                  <c:v>3.1020066889632103</c:v>
                </c:pt>
                <c:pt idx="7">
                  <c:v>3.1927710843373491</c:v>
                </c:pt>
                <c:pt idx="8">
                  <c:v>3.289007092198581</c:v>
                </c:pt>
                <c:pt idx="9">
                  <c:v>3.3912248628884822</c:v>
                </c:pt>
                <c:pt idx="10">
                  <c:v>3.4999999999999996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71168"/>
        <c:axId val="122077184"/>
      </c:scatterChart>
      <c:valAx>
        <c:axId val="120871168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crossAx val="122077184"/>
        <c:crosses val="autoZero"/>
        <c:crossBetween val="midCat"/>
      </c:valAx>
      <c:valAx>
        <c:axId val="122077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20871168"/>
        <c:crosses val="autoZero"/>
        <c:crossBetween val="midCat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0.76259389129449151"/>
          <c:y val="0.11799382220079632"/>
          <c:w val="0.21003531452387786"/>
          <c:h val="0.73431135058225483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latin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7201491308500152"/>
          <c:y val="5.9213406985207273E-2"/>
          <c:w val="0.42798508691499854"/>
          <c:h val="0.88157302389335335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wdUp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val>
            <c:numRef>
              <c:f>Calculator!$X$20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4"/>
          <c:order val="1"/>
          <c:tx>
            <c:v>OverBlue</c:v>
          </c:tx>
          <c:spPr>
            <a:noFill/>
          </c:spPr>
          <c:invertIfNegative val="0"/>
          <c:val>
            <c:numRef>
              <c:f>Calculator!$V$33</c:f>
              <c:numCache>
                <c:formatCode>0.0</c:formatCode>
                <c:ptCount val="1"/>
                <c:pt idx="0">
                  <c:v>2.6475299210918912</c:v>
                </c:pt>
              </c:numCache>
            </c:numRef>
          </c:val>
        </c:ser>
        <c:ser>
          <c:idx val="1"/>
          <c:order val="2"/>
          <c:tx>
            <c:v>High</c:v>
          </c:tx>
          <c:spPr>
            <a:solidFill>
              <a:srgbClr val="3787B9"/>
            </a:solidFill>
            <a:ln w="19050">
              <a:solidFill>
                <a:srgbClr val="2793C9"/>
              </a:solidFill>
            </a:ln>
            <a:effectLst>
              <a:softEdge rad="0"/>
            </a:effectLst>
            <a:scene3d>
              <a:camera prst="orthographicFront"/>
              <a:lightRig rig="threePt" dir="t"/>
            </a:scene3d>
          </c:spPr>
          <c:invertIfNegative val="0"/>
          <c:val>
            <c:numRef>
              <c:f>Calculator!$V$27</c:f>
              <c:numCache>
                <c:formatCode>0.0</c:formatCode>
                <c:ptCount val="1"/>
                <c:pt idx="0">
                  <c:v>9.9999999999999964</c:v>
                </c:pt>
              </c:numCache>
            </c:numRef>
          </c:val>
        </c:ser>
        <c:ser>
          <c:idx val="2"/>
          <c:order val="3"/>
          <c:tx>
            <c:v>Limit</c:v>
          </c:tx>
          <c:spPr>
            <a:noFill/>
          </c:spPr>
          <c:invertIfNegative val="0"/>
          <c:val>
            <c:numRef>
              <c:f>Calculator!$V$29</c:f>
              <c:numCache>
                <c:formatCode>0.0</c:formatCode>
                <c:ptCount val="1"/>
                <c:pt idx="0">
                  <c:v>47.352470078908112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2628352"/>
        <c:axId val="122642432"/>
      </c:barChart>
      <c:catAx>
        <c:axId val="12262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22642432"/>
        <c:crosses val="autoZero"/>
        <c:auto val="1"/>
        <c:lblAlgn val="ctr"/>
        <c:lblOffset val="100"/>
        <c:noMultiLvlLbl val="0"/>
      </c:catAx>
      <c:valAx>
        <c:axId val="12264243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22628352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6" fmlaLink="$B$3" fmlaRange="$F$2:$F18" noThreeD="1" val="0"/>
</file>

<file path=xl/ctrlProps/ctrlProp2.xml><?xml version="1.0" encoding="utf-8"?>
<formControlPr xmlns="http://schemas.microsoft.com/office/spreadsheetml/2009/9/main" objectType="List" dx="16" fmlaLink="$C$3" fmlaRange="$G$2:$G9" noThreeD="1" val="0"/>
</file>

<file path=xl/ctrlProps/ctrlProp3.xml><?xml version="1.0" encoding="utf-8"?>
<formControlPr xmlns="http://schemas.microsoft.com/office/spreadsheetml/2009/9/main" objectType="List" dx="16" fmlaLink="$D$3" fmlaRange="$H$2:$H11" noThreeD="1" val="0"/>
</file>

<file path=xl/ctrlProps/ctrlProp4.xml><?xml version="1.0" encoding="utf-8"?>
<formControlPr xmlns="http://schemas.microsoft.com/office/spreadsheetml/2009/9/main" objectType="List" dx="16" fmlaLink="$C$6" fmlaRange="$B$6:$B8" noThreeD="1" val="0"/>
</file>

<file path=xl/ctrlProps/ctrlProp5.xml><?xml version="1.0" encoding="utf-8"?>
<formControlPr xmlns="http://schemas.microsoft.com/office/spreadsheetml/2009/9/main" objectType="Drop" dropStyle="combo" dx="16" fmlaLink="'Unit conv'!$B$16" fmlaRange="'Unit conv'!$C$16:$C$17" noThreeD="1" val="0"/>
</file>

<file path=xl/ctrlProps/ctrlProp6.xml><?xml version="1.0" encoding="utf-8"?>
<formControlPr xmlns="http://schemas.microsoft.com/office/spreadsheetml/2009/9/main" objectType="Drop" dropStyle="combo" dx="16" fmlaLink="'Unit conv'!$B$22" fmlaRange="'Unit conv'!$C$22:$C$23" noThreeD="1" val="0"/>
</file>

<file path=xl/ctrlProps/ctrlProp7.xml><?xml version="1.0" encoding="utf-8"?>
<formControlPr xmlns="http://schemas.microsoft.com/office/spreadsheetml/2009/9/main" objectType="Drop" dropLines="2" dropStyle="combo" dx="16" fmlaLink="'Unit conv'!$B$33" fmlaRange="'Unit conv'!$C$33:$C$34" noThreeD="1" val="0"/>
</file>

<file path=xl/ctrlProps/ctrlProp8.xml><?xml version="1.0" encoding="utf-8"?>
<formControlPr xmlns="http://schemas.microsoft.com/office/spreadsheetml/2009/9/main" objectType="Drop" dropStyle="combo" dx="16" fmlaLink="$B$16" fmlaRange="$C$16:$C$17" val="0"/>
</file>

<file path=xl/ctrlProps/ctrlProp9.xml><?xml version="1.0" encoding="utf-8"?>
<formControlPr xmlns="http://schemas.microsoft.com/office/spreadsheetml/2009/9/main" objectType="Drop" dropStyle="combo" dx="16" fmlaLink="$B$22" fmlaRange="$C$22:$C$2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66675</xdr:colOff>
      <xdr:row>0</xdr:row>
      <xdr:rowOff>133350</xdr:rowOff>
    </xdr:from>
    <xdr:to>
      <xdr:col>32</xdr:col>
      <xdr:colOff>438150</xdr:colOff>
      <xdr:row>2</xdr:row>
      <xdr:rowOff>190500</xdr:rowOff>
    </xdr:to>
    <xdr:pic>
      <xdr:nvPicPr>
        <xdr:cNvPr id="8" name="Bildobjekt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133350"/>
          <a:ext cx="1647825" cy="438150"/>
        </a:xfrm>
        <a:prstGeom prst="rect">
          <a:avLst/>
        </a:prstGeom>
      </xdr:spPr>
    </xdr:pic>
    <xdr:clientData/>
  </xdr:twoCellAnchor>
  <xdr:twoCellAnchor>
    <xdr:from>
      <xdr:col>19</xdr:col>
      <xdr:colOff>352425</xdr:colOff>
      <xdr:row>0</xdr:row>
      <xdr:rowOff>142874</xdr:rowOff>
    </xdr:from>
    <xdr:to>
      <xdr:col>27</xdr:col>
      <xdr:colOff>142875</xdr:colOff>
      <xdr:row>2</xdr:row>
      <xdr:rowOff>228600</xdr:rowOff>
    </xdr:to>
    <xdr:sp macro="" textlink="">
      <xdr:nvSpPr>
        <xdr:cNvPr id="11" name="textruta 10"/>
        <xdr:cNvSpPr txBox="1"/>
      </xdr:nvSpPr>
      <xdr:spPr>
        <a:xfrm>
          <a:off x="352425" y="142874"/>
          <a:ext cx="4619625" cy="46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000" b="1" i="0">
              <a:latin typeface="Arial" panose="020B0604020202020204" pitchFamily="34" charset="0"/>
              <a:cs typeface="Arial" panose="020B0604020202020204" pitchFamily="34" charset="0"/>
            </a:rPr>
            <a:t>Force</a:t>
          </a:r>
          <a:r>
            <a:rPr lang="sv-SE" sz="2000" b="1" i="0" baseline="0">
              <a:latin typeface="Arial" panose="020B0604020202020204" pitchFamily="34" charset="0"/>
              <a:cs typeface="Arial" panose="020B0604020202020204" pitchFamily="34" charset="0"/>
            </a:rPr>
            <a:t> and temperature calculator</a:t>
          </a:r>
          <a:endParaRPr lang="sv-SE" sz="2000" b="1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104775</xdr:rowOff>
        </xdr:from>
        <xdr:to>
          <xdr:col>21</xdr:col>
          <xdr:colOff>476250</xdr:colOff>
          <xdr:row>12</xdr:row>
          <xdr:rowOff>114300</xdr:rowOff>
        </xdr:to>
        <xdr:sp macro="" textlink="">
          <xdr:nvSpPr>
            <xdr:cNvPr id="1033" name="List_Box_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19</xdr:col>
      <xdr:colOff>371475</xdr:colOff>
      <xdr:row>4</xdr:row>
      <xdr:rowOff>19050</xdr:rowOff>
    </xdr:from>
    <xdr:to>
      <xdr:col>21</xdr:col>
      <xdr:colOff>451350</xdr:colOff>
      <xdr:row>5</xdr:row>
      <xdr:rowOff>85726</xdr:rowOff>
    </xdr:to>
    <xdr:sp macro="" textlink="">
      <xdr:nvSpPr>
        <xdr:cNvPr id="16" name="textruta 15"/>
        <xdr:cNvSpPr txBox="1"/>
      </xdr:nvSpPr>
      <xdr:spPr>
        <a:xfrm>
          <a:off x="371475" y="781050"/>
          <a:ext cx="1165725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Standard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</xdr:row>
          <xdr:rowOff>104775</xdr:rowOff>
        </xdr:from>
        <xdr:to>
          <xdr:col>24</xdr:col>
          <xdr:colOff>0</xdr:colOff>
          <xdr:row>12</xdr:row>
          <xdr:rowOff>114300</xdr:rowOff>
        </xdr:to>
        <xdr:sp macro="" textlink="">
          <xdr:nvSpPr>
            <xdr:cNvPr id="1030" name="List_Box_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6</xdr:row>
          <xdr:rowOff>104775</xdr:rowOff>
        </xdr:from>
        <xdr:to>
          <xdr:col>26</xdr:col>
          <xdr:colOff>76200</xdr:colOff>
          <xdr:row>12</xdr:row>
          <xdr:rowOff>114300</xdr:rowOff>
        </xdr:to>
        <xdr:sp macro="" textlink="">
          <xdr:nvSpPr>
            <xdr:cNvPr id="1031" name="List_Box_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323850</xdr:colOff>
          <xdr:row>6</xdr:row>
          <xdr:rowOff>104775</xdr:rowOff>
        </xdr:from>
        <xdr:to>
          <xdr:col>28</xdr:col>
          <xdr:colOff>19050</xdr:colOff>
          <xdr:row>12</xdr:row>
          <xdr:rowOff>114300</xdr:rowOff>
        </xdr:to>
        <xdr:sp macro="" textlink="">
          <xdr:nvSpPr>
            <xdr:cNvPr id="1032" name="List_Box_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26</xdr:col>
      <xdr:colOff>262244</xdr:colOff>
      <xdr:row>4</xdr:row>
      <xdr:rowOff>19050</xdr:rowOff>
    </xdr:from>
    <xdr:to>
      <xdr:col>28</xdr:col>
      <xdr:colOff>76201</xdr:colOff>
      <xdr:row>6</xdr:row>
      <xdr:rowOff>57150</xdr:rowOff>
    </xdr:to>
    <xdr:sp macro="" textlink="">
      <xdr:nvSpPr>
        <xdr:cNvPr id="12" name="textruta 11"/>
        <xdr:cNvSpPr txBox="1"/>
      </xdr:nvSpPr>
      <xdr:spPr>
        <a:xfrm>
          <a:off x="4453244" y="781050"/>
          <a:ext cx="1176032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Stroke Length (mm)</a:t>
          </a:r>
        </a:p>
      </xdr:txBody>
    </xdr:sp>
    <xdr:clientData/>
  </xdr:twoCellAnchor>
  <xdr:twoCellAnchor>
    <xdr:from>
      <xdr:col>22</xdr:col>
      <xdr:colOff>4647</xdr:colOff>
      <xdr:row>4</xdr:row>
      <xdr:rowOff>19050</xdr:rowOff>
    </xdr:from>
    <xdr:to>
      <xdr:col>23</xdr:col>
      <xdr:colOff>157014</xdr:colOff>
      <xdr:row>5</xdr:row>
      <xdr:rowOff>73538</xdr:rowOff>
    </xdr:to>
    <xdr:sp macro="" textlink="">
      <xdr:nvSpPr>
        <xdr:cNvPr id="13" name="textruta 12"/>
        <xdr:cNvSpPr txBox="1"/>
      </xdr:nvSpPr>
      <xdr:spPr>
        <a:xfrm>
          <a:off x="1681047" y="781050"/>
          <a:ext cx="666717" cy="244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Series</a:t>
          </a:r>
        </a:p>
      </xdr:txBody>
    </xdr:sp>
    <xdr:clientData/>
  </xdr:twoCellAnchor>
  <xdr:twoCellAnchor>
    <xdr:from>
      <xdr:col>24</xdr:col>
      <xdr:colOff>170909</xdr:colOff>
      <xdr:row>4</xdr:row>
      <xdr:rowOff>19050</xdr:rowOff>
    </xdr:from>
    <xdr:to>
      <xdr:col>25</xdr:col>
      <xdr:colOff>361178</xdr:colOff>
      <xdr:row>5</xdr:row>
      <xdr:rowOff>45270</xdr:rowOff>
    </xdr:to>
    <xdr:sp macro="" textlink="">
      <xdr:nvSpPr>
        <xdr:cNvPr id="14" name="textruta 13"/>
        <xdr:cNvSpPr txBox="1"/>
      </xdr:nvSpPr>
      <xdr:spPr>
        <a:xfrm>
          <a:off x="3037934" y="781050"/>
          <a:ext cx="828444" cy="21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Model</a:t>
          </a:r>
        </a:p>
      </xdr:txBody>
    </xdr:sp>
    <xdr:clientData/>
  </xdr:twoCellAnchor>
  <xdr:twoCellAnchor>
    <xdr:from>
      <xdr:col>19</xdr:col>
      <xdr:colOff>57150</xdr:colOff>
      <xdr:row>23</xdr:row>
      <xdr:rowOff>180976</xdr:rowOff>
    </xdr:from>
    <xdr:to>
      <xdr:col>28</xdr:col>
      <xdr:colOff>514350</xdr:colOff>
      <xdr:row>38</xdr:row>
      <xdr:rowOff>123826</xdr:rowOff>
    </xdr:to>
    <xdr:graphicFrame macro="">
      <xdr:nvGraphicFramePr>
        <xdr:cNvPr id="28" name="Diagra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238124</xdr:colOff>
      <xdr:row>38</xdr:row>
      <xdr:rowOff>66675</xdr:rowOff>
    </xdr:from>
    <xdr:to>
      <xdr:col>24</xdr:col>
      <xdr:colOff>409574</xdr:colOff>
      <xdr:row>39</xdr:row>
      <xdr:rowOff>161925</xdr:rowOff>
    </xdr:to>
    <xdr:sp macro="" textlink="">
      <xdr:nvSpPr>
        <xdr:cNvPr id="6" name="textruta 5"/>
        <xdr:cNvSpPr txBox="1"/>
      </xdr:nvSpPr>
      <xdr:spPr>
        <a:xfrm>
          <a:off x="1962149" y="7324725"/>
          <a:ext cx="13620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Stroke in mm</a:t>
          </a:r>
        </a:p>
      </xdr:txBody>
    </xdr:sp>
    <xdr:clientData/>
  </xdr:twoCellAnchor>
  <xdr:twoCellAnchor>
    <xdr:from>
      <xdr:col>28</xdr:col>
      <xdr:colOff>390525</xdr:colOff>
      <xdr:row>4</xdr:row>
      <xdr:rowOff>19050</xdr:rowOff>
    </xdr:from>
    <xdr:to>
      <xdr:col>29</xdr:col>
      <xdr:colOff>561975</xdr:colOff>
      <xdr:row>5</xdr:row>
      <xdr:rowOff>38100</xdr:rowOff>
    </xdr:to>
    <xdr:sp macro="" textlink="">
      <xdr:nvSpPr>
        <xdr:cNvPr id="3" name="textruta 2"/>
        <xdr:cNvSpPr txBox="1"/>
      </xdr:nvSpPr>
      <xdr:spPr>
        <a:xfrm>
          <a:off x="5943600" y="781050"/>
          <a:ext cx="8096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Units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476250</xdr:colOff>
          <xdr:row>6</xdr:row>
          <xdr:rowOff>104775</xdr:rowOff>
        </xdr:from>
        <xdr:to>
          <xdr:col>30</xdr:col>
          <xdr:colOff>9525</xdr:colOff>
          <xdr:row>8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476250</xdr:colOff>
          <xdr:row>9</xdr:row>
          <xdr:rowOff>57150</xdr:rowOff>
        </xdr:from>
        <xdr:to>
          <xdr:col>30</xdr:col>
          <xdr:colOff>9525</xdr:colOff>
          <xdr:row>11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28</xdr:col>
      <xdr:colOff>623207</xdr:colOff>
      <xdr:row>23</xdr:row>
      <xdr:rowOff>161925</xdr:rowOff>
    </xdr:from>
    <xdr:to>
      <xdr:col>29</xdr:col>
      <xdr:colOff>590550</xdr:colOff>
      <xdr:row>38</xdr:row>
      <xdr:rowOff>1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314326</xdr:colOff>
      <xdr:row>38</xdr:row>
      <xdr:rowOff>28575</xdr:rowOff>
    </xdr:from>
    <xdr:to>
      <xdr:col>33</xdr:col>
      <xdr:colOff>533400</xdr:colOff>
      <xdr:row>40</xdr:row>
      <xdr:rowOff>161926</xdr:rowOff>
    </xdr:to>
    <xdr:grpSp>
      <xdr:nvGrpSpPr>
        <xdr:cNvPr id="9" name="Grupp 8"/>
        <xdr:cNvGrpSpPr/>
      </xdr:nvGrpSpPr>
      <xdr:grpSpPr>
        <a:xfrm>
          <a:off x="6505576" y="7286625"/>
          <a:ext cx="2771774" cy="514351"/>
          <a:chOff x="6248401" y="7124700"/>
          <a:chExt cx="2771774" cy="514351"/>
        </a:xfrm>
      </xdr:grpSpPr>
      <xdr:sp macro="" textlink="">
        <xdr:nvSpPr>
          <xdr:cNvPr id="4" name="Rektangel 3"/>
          <xdr:cNvSpPr/>
        </xdr:nvSpPr>
        <xdr:spPr>
          <a:xfrm>
            <a:off x="6248401" y="7143750"/>
            <a:ext cx="270000" cy="216000"/>
          </a:xfrm>
          <a:prstGeom prst="rect">
            <a:avLst/>
          </a:prstGeom>
          <a:solidFill>
            <a:srgbClr val="3787B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24" name="Rektangel 23"/>
          <xdr:cNvSpPr/>
        </xdr:nvSpPr>
        <xdr:spPr>
          <a:xfrm>
            <a:off x="6248401" y="7400924"/>
            <a:ext cx="270000" cy="216000"/>
          </a:xfrm>
          <a:prstGeom prst="rect">
            <a:avLst/>
          </a:prstGeom>
          <a:pattFill prst="wdUpDiag">
            <a:fgClr>
              <a:schemeClr val="tx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5" name="textruta 4"/>
          <xdr:cNvSpPr txBox="1"/>
        </xdr:nvSpPr>
        <xdr:spPr>
          <a:xfrm>
            <a:off x="6493576" y="7124700"/>
            <a:ext cx="252659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Operating Temperature 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interval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textruta 25"/>
          <xdr:cNvSpPr txBox="1"/>
        </xdr:nvSpPr>
        <xdr:spPr>
          <a:xfrm>
            <a:off x="6493576" y="7391401"/>
            <a:ext cx="2221057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Surrounding Temperature</a:t>
            </a:r>
          </a:p>
        </xdr:txBody>
      </xdr:sp>
    </xdr:grpSp>
    <xdr:clientData/>
  </xdr:twoCellAnchor>
  <xdr:twoCellAnchor>
    <xdr:from>
      <xdr:col>22</xdr:col>
      <xdr:colOff>457200</xdr:colOff>
      <xdr:row>13</xdr:row>
      <xdr:rowOff>57150</xdr:rowOff>
    </xdr:from>
    <xdr:to>
      <xdr:col>24</xdr:col>
      <xdr:colOff>95250</xdr:colOff>
      <xdr:row>14</xdr:row>
      <xdr:rowOff>114300</xdr:rowOff>
    </xdr:to>
    <xdr:sp macro="" textlink="">
      <xdr:nvSpPr>
        <xdr:cNvPr id="2" name="textruta 1"/>
        <xdr:cNvSpPr txBox="1"/>
      </xdr:nvSpPr>
      <xdr:spPr>
        <a:xfrm>
          <a:off x="2066925" y="2552700"/>
          <a:ext cx="8286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User data</a:t>
          </a:r>
        </a:p>
      </xdr:txBody>
    </xdr:sp>
    <xdr:clientData/>
  </xdr:twoCellAnchor>
  <xdr:twoCellAnchor>
    <xdr:from>
      <xdr:col>26</xdr:col>
      <xdr:colOff>142875</xdr:colOff>
      <xdr:row>45</xdr:row>
      <xdr:rowOff>28574</xdr:rowOff>
    </xdr:from>
    <xdr:to>
      <xdr:col>26</xdr:col>
      <xdr:colOff>466725</xdr:colOff>
      <xdr:row>45</xdr:row>
      <xdr:rowOff>152400</xdr:rowOff>
    </xdr:to>
    <xdr:sp macro="" textlink="">
      <xdr:nvSpPr>
        <xdr:cNvPr id="7" name="Höger 6"/>
        <xdr:cNvSpPr/>
      </xdr:nvSpPr>
      <xdr:spPr>
        <a:xfrm>
          <a:off x="4286250" y="8620124"/>
          <a:ext cx="323850" cy="123826"/>
        </a:xfrm>
        <a:prstGeom prst="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20</xdr:col>
      <xdr:colOff>19050</xdr:colOff>
      <xdr:row>48</xdr:row>
      <xdr:rowOff>76200</xdr:rowOff>
    </xdr:from>
    <xdr:to>
      <xdr:col>29</xdr:col>
      <xdr:colOff>590550</xdr:colOff>
      <xdr:row>48</xdr:row>
      <xdr:rowOff>76200</xdr:rowOff>
    </xdr:to>
    <xdr:cxnSp macro="">
      <xdr:nvCxnSpPr>
        <xdr:cNvPr id="15" name="Rak 14"/>
        <xdr:cNvCxnSpPr/>
      </xdr:nvCxnSpPr>
      <xdr:spPr>
        <a:xfrm>
          <a:off x="466725" y="9239250"/>
          <a:ext cx="63150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371478</xdr:colOff>
      <xdr:row>49</xdr:row>
      <xdr:rowOff>180973</xdr:rowOff>
    </xdr:from>
    <xdr:to>
      <xdr:col>24</xdr:col>
      <xdr:colOff>323850</xdr:colOff>
      <xdr:row>59</xdr:row>
      <xdr:rowOff>76200</xdr:rowOff>
    </xdr:to>
    <xdr:sp macro="" textlink="">
      <xdr:nvSpPr>
        <xdr:cNvPr id="17" name="textruta 16"/>
        <xdr:cNvSpPr txBox="1"/>
      </xdr:nvSpPr>
      <xdr:spPr>
        <a:xfrm>
          <a:off x="371478" y="9534523"/>
          <a:ext cx="2867022" cy="1809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Do not exceed the limits stated in the KALLER catalog regarding max. piston rod velocity and recommended max. strokes per minute (spm).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Forces are calculated from the KALLER catalog values. Polytropic forces</a:t>
          </a:r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 represents a gas spring compressed from its fully extended position.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Temperatures are based on practical and theoretical tests and may differ from a real application.</a:t>
          </a:r>
        </a:p>
      </xdr:txBody>
    </xdr:sp>
    <xdr:clientData/>
  </xdr:twoCellAnchor>
  <xdr:twoCellAnchor>
    <xdr:from>
      <xdr:col>25</xdr:col>
      <xdr:colOff>200025</xdr:colOff>
      <xdr:row>49</xdr:row>
      <xdr:rowOff>180976</xdr:rowOff>
    </xdr:from>
    <xdr:to>
      <xdr:col>29</xdr:col>
      <xdr:colOff>400050</xdr:colOff>
      <xdr:row>57</xdr:row>
      <xdr:rowOff>38100</xdr:rowOff>
    </xdr:to>
    <xdr:sp macro="" textlink="">
      <xdr:nvSpPr>
        <xdr:cNvPr id="18" name="textruta 17"/>
        <xdr:cNvSpPr txBox="1"/>
      </xdr:nvSpPr>
      <xdr:spPr>
        <a:xfrm>
          <a:off x="3752850" y="9534526"/>
          <a:ext cx="2838450" cy="1381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Factors such as restricted air flow, sideloads and others may increase the operating temperature.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Use of the output from the Force and temperature calculator are at your own risk.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In no event shall KALLER be liable for any direct, indirect, incidental, punitive, or consequential damage.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6</xdr:row>
          <xdr:rowOff>114300</xdr:rowOff>
        </xdr:from>
        <xdr:to>
          <xdr:col>32</xdr:col>
          <xdr:colOff>200025</xdr:colOff>
          <xdr:row>8</xdr:row>
          <xdr:rowOff>47625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30</xdr:col>
      <xdr:colOff>276225</xdr:colOff>
      <xdr:row>4</xdr:row>
      <xdr:rowOff>19050</xdr:rowOff>
    </xdr:from>
    <xdr:to>
      <xdr:col>32</xdr:col>
      <xdr:colOff>333375</xdr:colOff>
      <xdr:row>5</xdr:row>
      <xdr:rowOff>47625</xdr:rowOff>
    </xdr:to>
    <xdr:sp macro="" textlink="">
      <xdr:nvSpPr>
        <xdr:cNvPr id="29" name="textruta 28"/>
        <xdr:cNvSpPr txBox="1"/>
      </xdr:nvSpPr>
      <xdr:spPr>
        <a:xfrm>
          <a:off x="7105650" y="781050"/>
          <a:ext cx="13335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Thermodynamics</a:t>
          </a:r>
        </a:p>
      </xdr:txBody>
    </xdr:sp>
    <xdr:clientData/>
  </xdr:twoCellAnchor>
  <xdr:twoCellAnchor>
    <xdr:from>
      <xdr:col>30</xdr:col>
      <xdr:colOff>284391</xdr:colOff>
      <xdr:row>9</xdr:row>
      <xdr:rowOff>6804</xdr:rowOff>
    </xdr:from>
    <xdr:to>
      <xdr:col>32</xdr:col>
      <xdr:colOff>485775</xdr:colOff>
      <xdr:row>17</xdr:row>
      <xdr:rowOff>104775</xdr:rowOff>
    </xdr:to>
    <xdr:sp macro="" textlink="">
      <xdr:nvSpPr>
        <xdr:cNvPr id="19" name="textruta 18"/>
        <xdr:cNvSpPr txBox="1"/>
      </xdr:nvSpPr>
      <xdr:spPr>
        <a:xfrm>
          <a:off x="7113816" y="1740354"/>
          <a:ext cx="1477734" cy="162197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Catalog forces are isothermal.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The polytropic calculation can be used for more accuracy in dynamic conditions (gas temperature will rise during compression).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95250</xdr:rowOff>
        </xdr:from>
        <xdr:to>
          <xdr:col>2</xdr:col>
          <xdr:colOff>161925</xdr:colOff>
          <xdr:row>4</xdr:row>
          <xdr:rowOff>95250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152400</xdr:rowOff>
        </xdr:from>
        <xdr:to>
          <xdr:col>2</xdr:col>
          <xdr:colOff>161925</xdr:colOff>
          <xdr:row>7</xdr:row>
          <xdr:rowOff>47625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72</xdr:row>
          <xdr:rowOff>0</xdr:rowOff>
        </xdr:from>
        <xdr:to>
          <xdr:col>5</xdr:col>
          <xdr:colOff>809625</xdr:colOff>
          <xdr:row>72</xdr:row>
          <xdr:rowOff>0</xdr:rowOff>
        </xdr:to>
        <xdr:sp macro="" textlink="">
          <xdr:nvSpPr>
            <xdr:cNvPr id="8218" name="ComboBox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5</xdr:col>
          <xdr:colOff>809625</xdr:colOff>
          <xdr:row>74</xdr:row>
          <xdr:rowOff>0</xdr:rowOff>
        </xdr:to>
        <xdr:sp macro="" textlink="">
          <xdr:nvSpPr>
            <xdr:cNvPr id="8235" name="ComboBox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5</xdr:col>
          <xdr:colOff>809625</xdr:colOff>
          <xdr:row>74</xdr:row>
          <xdr:rowOff>0</xdr:rowOff>
        </xdr:to>
        <xdr:sp macro="" textlink="">
          <xdr:nvSpPr>
            <xdr:cNvPr id="8251" name="ComboBox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5</xdr:col>
          <xdr:colOff>809625</xdr:colOff>
          <xdr:row>74</xdr:row>
          <xdr:rowOff>0</xdr:rowOff>
        </xdr:to>
        <xdr:sp macro="" textlink="">
          <xdr:nvSpPr>
            <xdr:cNvPr id="8260" name="ComboBox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5</xdr:col>
          <xdr:colOff>809625</xdr:colOff>
          <xdr:row>74</xdr:row>
          <xdr:rowOff>0</xdr:rowOff>
        </xdr:to>
        <xdr:sp macro="" textlink="">
          <xdr:nvSpPr>
            <xdr:cNvPr id="8261" name="ComboBox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5</xdr:col>
          <xdr:colOff>809625</xdr:colOff>
          <xdr:row>74</xdr:row>
          <xdr:rowOff>0</xdr:rowOff>
        </xdr:to>
        <xdr:sp macro="" textlink="">
          <xdr:nvSpPr>
            <xdr:cNvPr id="8262" name="ComboBox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MarcusC\&#214;vrigt\MC%20Excelark%20mm%202015\L&#228;ra%20sig%20Excel\L&#228;ra%20sig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MartenJ\AppData\Local\Microsoft\Windows\Temporary%20Internet%20Files\Content.Outlook\K0435OXB\Kraftber&#228;kning%2013%20k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MarcusC\Kraftber&#228;kning\Temperaturdatablad\Kopia%20av%20tempkalk%2020140409-02%20-%20K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Text"/>
      <sheetName val="test"/>
      <sheetName val="Blad4"/>
      <sheetName val="Pivot table"/>
      <sheetName val="jan 16"/>
      <sheetName val="Jan 16 forts"/>
    </sheetNames>
    <sheetDataSet>
      <sheetData sheetId="0">
        <row r="3">
          <cell r="F3" t="str">
            <v>Var_1</v>
          </cell>
          <cell r="G3" t="str">
            <v>Var_2</v>
          </cell>
          <cell r="H3" t="str">
            <v>Var_3</v>
          </cell>
          <cell r="I3" t="str">
            <v>Var_4</v>
          </cell>
        </row>
        <row r="4">
          <cell r="D4" t="str">
            <v>Häst</v>
          </cell>
          <cell r="F4">
            <v>400</v>
          </cell>
          <cell r="G4">
            <v>410</v>
          </cell>
          <cell r="H4">
            <v>420</v>
          </cell>
          <cell r="I4">
            <v>430</v>
          </cell>
        </row>
        <row r="5">
          <cell r="D5" t="str">
            <v>Bil</v>
          </cell>
          <cell r="F5">
            <v>1500</v>
          </cell>
          <cell r="G5">
            <v>1550</v>
          </cell>
          <cell r="H5">
            <v>1600</v>
          </cell>
          <cell r="I5">
            <v>1650</v>
          </cell>
        </row>
        <row r="6">
          <cell r="D6" t="str">
            <v>Båt</v>
          </cell>
          <cell r="F6">
            <v>3000</v>
          </cell>
          <cell r="G6">
            <v>4000</v>
          </cell>
          <cell r="H6">
            <v>5000</v>
          </cell>
          <cell r="I6">
            <v>6000</v>
          </cell>
        </row>
        <row r="7">
          <cell r="D7" t="str">
            <v>Cykel</v>
          </cell>
          <cell r="F7">
            <v>10</v>
          </cell>
          <cell r="G7">
            <v>15</v>
          </cell>
          <cell r="H7">
            <v>20</v>
          </cell>
          <cell r="I7">
            <v>25</v>
          </cell>
        </row>
        <row r="14">
          <cell r="F14" t="str">
            <v>Häst</v>
          </cell>
          <cell r="G14" t="str">
            <v>Var_2</v>
          </cell>
        </row>
        <row r="25">
          <cell r="G25" t="str">
            <v>Hund</v>
          </cell>
          <cell r="H25">
            <v>0</v>
          </cell>
          <cell r="I25">
            <v>0</v>
          </cell>
          <cell r="J25" t="str">
            <v>Katt</v>
          </cell>
          <cell r="K25">
            <v>0</v>
          </cell>
          <cell r="L25">
            <v>0</v>
          </cell>
          <cell r="M25" t="str">
            <v>Häst</v>
          </cell>
          <cell r="N25">
            <v>0</v>
          </cell>
          <cell r="O25">
            <v>0</v>
          </cell>
        </row>
        <row r="27">
          <cell r="F27" t="str">
            <v>Andersson</v>
          </cell>
          <cell r="G27">
            <v>0.11</v>
          </cell>
          <cell r="H27">
            <v>0.12</v>
          </cell>
          <cell r="I27">
            <v>0.13</v>
          </cell>
          <cell r="J27">
            <v>0.14000000000000001</v>
          </cell>
          <cell r="K27">
            <v>0.15</v>
          </cell>
          <cell r="L27">
            <v>0.16</v>
          </cell>
          <cell r="M27">
            <v>0.17</v>
          </cell>
          <cell r="N27">
            <v>0.18</v>
          </cell>
          <cell r="O27">
            <v>0.19</v>
          </cell>
          <cell r="R27" t="str">
            <v>Pettersson</v>
          </cell>
          <cell r="S27" t="str">
            <v>Hund</v>
          </cell>
        </row>
        <row r="28">
          <cell r="F28" t="str">
            <v>Pettersson</v>
          </cell>
          <cell r="G28">
            <v>0.21</v>
          </cell>
          <cell r="H28">
            <v>0.22</v>
          </cell>
          <cell r="I28">
            <v>0.23</v>
          </cell>
          <cell r="J28">
            <v>0.24</v>
          </cell>
          <cell r="K28">
            <v>0.25</v>
          </cell>
          <cell r="L28">
            <v>0.26</v>
          </cell>
          <cell r="M28">
            <v>0.27</v>
          </cell>
          <cell r="N28">
            <v>0.28000000000000003</v>
          </cell>
          <cell r="O28">
            <v>0.28999999999999998</v>
          </cell>
        </row>
        <row r="29">
          <cell r="F29" t="str">
            <v>Johnsson</v>
          </cell>
          <cell r="G29">
            <v>0.31</v>
          </cell>
          <cell r="H29">
            <v>0.32</v>
          </cell>
          <cell r="I29">
            <v>0.33</v>
          </cell>
          <cell r="J29">
            <v>0.34</v>
          </cell>
          <cell r="K29">
            <v>0.35</v>
          </cell>
          <cell r="L29">
            <v>0.36</v>
          </cell>
          <cell r="M29">
            <v>0.37</v>
          </cell>
          <cell r="N29">
            <v>0.38</v>
          </cell>
          <cell r="O29">
            <v>0.39</v>
          </cell>
        </row>
        <row r="30">
          <cell r="F30" t="str">
            <v>Persson</v>
          </cell>
          <cell r="G30">
            <v>0.41</v>
          </cell>
          <cell r="H30">
            <v>0.42</v>
          </cell>
          <cell r="I30">
            <v>0.43</v>
          </cell>
          <cell r="J30">
            <v>0.44</v>
          </cell>
          <cell r="K30">
            <v>0.45</v>
          </cell>
          <cell r="L30">
            <v>0.46</v>
          </cell>
          <cell r="M30">
            <v>0.47</v>
          </cell>
          <cell r="N30">
            <v>0.48</v>
          </cell>
          <cell r="O30">
            <v>0.49</v>
          </cell>
        </row>
        <row r="31">
          <cell r="F31" t="str">
            <v>Svensson</v>
          </cell>
          <cell r="G31">
            <v>0.51</v>
          </cell>
          <cell r="H31">
            <v>0.52</v>
          </cell>
          <cell r="I31">
            <v>0.53</v>
          </cell>
          <cell r="J31">
            <v>0.54</v>
          </cell>
          <cell r="K31">
            <v>0.55000000000000004</v>
          </cell>
          <cell r="L31">
            <v>0.56000000000000005</v>
          </cell>
          <cell r="M31">
            <v>0.54</v>
          </cell>
          <cell r="N31">
            <v>0.57999999999999996</v>
          </cell>
          <cell r="O31">
            <v>0.59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"/>
      <sheetName val="Ford meny"/>
      <sheetName val="Ford Code"/>
      <sheetName val="Unit conv"/>
      <sheetName val="FORD Data"/>
      <sheetName val="Fjäderkurva"/>
    </sheetNames>
    <sheetDataSet>
      <sheetData sheetId="0"/>
      <sheetData sheetId="1">
        <row r="12">
          <cell r="D12">
            <v>100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2"/>
      <sheetName val="Strokes"/>
      <sheetName val="Steg 1 2 3"/>
      <sheetName val="Fylltryck"/>
      <sheetName val="Best"/>
      <sheetName val="Test data"/>
      <sheetName val="Testupplägg"/>
      <sheetName val="R12"/>
      <sheetName val="R15"/>
      <sheetName val="R19"/>
      <sheetName val="M2"/>
      <sheetName val="TU250"/>
      <sheetName val="TX1500"/>
      <sheetName val="X20000"/>
      <sheetName val="Värden till MB"/>
      <sheetName val="Schema"/>
      <sheetName val="Läget"/>
      <sheetName val="Koll"/>
      <sheetName val="Om Tempkal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ller.com?subject=Feedback%20Force%20and%20temperature%20calculato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control" Target="../activeX/activeX5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2.xml"/><Relationship Id="rId12" Type="http://schemas.openxmlformats.org/officeDocument/2006/relationships/image" Target="../media/image6.emf"/><Relationship Id="rId2" Type="http://schemas.openxmlformats.org/officeDocument/2006/relationships/drawing" Target="../drawings/drawing3.xml"/><Relationship Id="rId16" Type="http://schemas.openxmlformats.org/officeDocument/2006/relationships/image" Target="../media/image8.emf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3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5.emf"/><Relationship Id="rId4" Type="http://schemas.openxmlformats.org/officeDocument/2006/relationships/image" Target="../media/image2.png"/><Relationship Id="rId9" Type="http://schemas.openxmlformats.org/officeDocument/2006/relationships/control" Target="../activeX/activeX3.xml"/><Relationship Id="rId14" Type="http://schemas.openxmlformats.org/officeDocument/2006/relationships/image" Target="../media/image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>
    <pageSetUpPr fitToPage="1"/>
  </sheetPr>
  <dimension ref="A1:BD84"/>
  <sheetViews>
    <sheetView showRowColHeaders="0" tabSelected="1" topLeftCell="T1" zoomScaleNormal="100" workbookViewId="0">
      <selection activeCell="X16" sqref="X16"/>
    </sheetView>
  </sheetViews>
  <sheetFormatPr defaultColWidth="9.5703125" defaultRowHeight="15" x14ac:dyDescent="0.25"/>
  <cols>
    <col min="1" max="1" width="8.85546875" style="149" hidden="1" customWidth="1"/>
    <col min="2" max="2" width="9.42578125" style="149" hidden="1" customWidth="1"/>
    <col min="3" max="3" width="7" style="149" hidden="1" customWidth="1"/>
    <col min="4" max="4" width="8.5703125" style="149" hidden="1" customWidth="1"/>
    <col min="5" max="5" width="8.28515625" style="149" hidden="1" customWidth="1"/>
    <col min="6" max="6" width="8.28515625" style="150" hidden="1" customWidth="1"/>
    <col min="7" max="7" width="9.140625" style="150" hidden="1" customWidth="1"/>
    <col min="8" max="8" width="8.42578125" style="150" hidden="1" customWidth="1"/>
    <col min="9" max="9" width="7.85546875" style="149" hidden="1" customWidth="1"/>
    <col min="10" max="10" width="7" style="149" hidden="1" customWidth="1"/>
    <col min="11" max="11" width="8" style="149" hidden="1" customWidth="1"/>
    <col min="12" max="12" width="7" style="149" hidden="1" customWidth="1"/>
    <col min="13" max="13" width="9.85546875" style="149" hidden="1" customWidth="1"/>
    <col min="14" max="14" width="8.5703125" style="149" hidden="1" customWidth="1"/>
    <col min="15" max="15" width="9.140625" style="149" hidden="1" customWidth="1"/>
    <col min="16" max="16" width="8.28515625" style="149" hidden="1" customWidth="1"/>
    <col min="17" max="17" width="8.42578125" style="149" hidden="1" customWidth="1"/>
    <col min="18" max="18" width="9.85546875" style="149" hidden="1" customWidth="1"/>
    <col min="19" max="19" width="7.140625" style="152" hidden="1" customWidth="1"/>
    <col min="20" max="20" width="6.7109375" style="149" customWidth="1"/>
    <col min="21" max="22" width="9.5703125" style="149"/>
    <col min="23" max="23" width="7.7109375" style="149" customWidth="1"/>
    <col min="24" max="24" width="10.140625" style="149" customWidth="1"/>
    <col min="25" max="26" width="9.5703125" style="149"/>
    <col min="27" max="27" width="11" style="149" customWidth="1"/>
    <col min="28" max="28" width="10.28515625" style="149" customWidth="1"/>
    <col min="29" max="29" width="8.7109375" style="149" customWidth="1"/>
    <col min="30" max="31" width="9.5703125" style="149"/>
    <col min="32" max="33" width="9.5703125" style="152"/>
    <col min="34" max="16384" width="9.5703125" style="149"/>
  </cols>
  <sheetData>
    <row r="1" spans="1:50" x14ac:dyDescent="0.25">
      <c r="A1" s="148"/>
      <c r="B1" s="149" t="s">
        <v>10</v>
      </c>
      <c r="F1" s="150" t="s">
        <v>15</v>
      </c>
      <c r="G1" s="150" t="s">
        <v>16</v>
      </c>
      <c r="H1" s="150" t="s">
        <v>17</v>
      </c>
      <c r="K1" s="151" t="s">
        <v>18</v>
      </c>
      <c r="N1" s="149" t="s">
        <v>3</v>
      </c>
      <c r="O1" s="149" t="s">
        <v>4</v>
      </c>
      <c r="P1" s="149" t="s">
        <v>172</v>
      </c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204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</row>
    <row r="2" spans="1:50" x14ac:dyDescent="0.25">
      <c r="A2" s="148"/>
      <c r="B2" s="148" t="s">
        <v>7</v>
      </c>
      <c r="C2" s="154" t="s">
        <v>8</v>
      </c>
      <c r="D2" s="148" t="s">
        <v>9</v>
      </c>
      <c r="F2" s="181" t="s">
        <v>5</v>
      </c>
      <c r="G2" s="181">
        <v>250</v>
      </c>
      <c r="H2" s="181">
        <v>10</v>
      </c>
      <c r="J2" s="155"/>
      <c r="K2" s="184" t="s">
        <v>5</v>
      </c>
      <c r="L2" s="185">
        <v>250</v>
      </c>
      <c r="M2" s="185">
        <v>10</v>
      </c>
      <c r="N2" s="185">
        <v>2650</v>
      </c>
      <c r="O2" s="185">
        <v>3500</v>
      </c>
      <c r="P2" s="186">
        <v>150</v>
      </c>
      <c r="Q2" s="155"/>
      <c r="R2" s="155"/>
      <c r="T2" s="192"/>
      <c r="U2" s="192"/>
      <c r="V2" s="192"/>
      <c r="W2" s="192"/>
      <c r="X2" s="192"/>
      <c r="Y2" s="192"/>
      <c r="Z2" s="192"/>
      <c r="AA2" s="193"/>
      <c r="AB2" s="193"/>
      <c r="AC2" s="193"/>
      <c r="AD2" s="192"/>
      <c r="AE2" s="192"/>
      <c r="AF2" s="192"/>
      <c r="AG2" s="204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</row>
    <row r="3" spans="1:50" ht="20.25" customHeight="1" x14ac:dyDescent="0.25">
      <c r="B3" s="187">
        <v>1</v>
      </c>
      <c r="C3" s="187">
        <v>1</v>
      </c>
      <c r="D3" s="187">
        <v>1</v>
      </c>
      <c r="F3" s="182" t="s">
        <v>6</v>
      </c>
      <c r="G3" s="182">
        <v>500</v>
      </c>
      <c r="H3" s="182">
        <v>12.7</v>
      </c>
      <c r="J3" s="155"/>
      <c r="K3" s="155" t="s">
        <v>265</v>
      </c>
      <c r="L3" s="155"/>
      <c r="M3" s="155"/>
      <c r="N3" s="155"/>
      <c r="O3" s="155"/>
      <c r="P3" s="155"/>
      <c r="Q3" s="155"/>
      <c r="R3" s="155"/>
      <c r="S3" s="155"/>
      <c r="T3" s="193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204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</row>
    <row r="4" spans="1:50" ht="9.75" customHeight="1" x14ac:dyDescent="0.25">
      <c r="A4" s="148"/>
      <c r="B4" s="148"/>
      <c r="C4" s="148"/>
      <c r="D4" s="148"/>
      <c r="F4" s="182" t="s">
        <v>68</v>
      </c>
      <c r="G4" s="182">
        <v>750</v>
      </c>
      <c r="H4" s="182">
        <v>16</v>
      </c>
      <c r="J4" s="155"/>
      <c r="K4" s="187" t="s">
        <v>366</v>
      </c>
      <c r="L4" s="155"/>
      <c r="M4" s="155"/>
      <c r="N4" s="155"/>
      <c r="O4" s="155"/>
      <c r="P4" s="155"/>
      <c r="Q4" s="155"/>
      <c r="R4" s="155"/>
      <c r="S4" s="155"/>
      <c r="T4" s="156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61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</row>
    <row r="5" spans="1:50" x14ac:dyDescent="0.25">
      <c r="B5" s="149" t="s">
        <v>14</v>
      </c>
      <c r="F5" s="182" t="s">
        <v>61</v>
      </c>
      <c r="G5" s="182">
        <v>1500</v>
      </c>
      <c r="H5" s="182">
        <v>25</v>
      </c>
      <c r="I5" s="152"/>
      <c r="J5" s="155"/>
      <c r="K5" s="155">
        <f>FIND("-",K4)</f>
        <v>7</v>
      </c>
      <c r="L5" s="155"/>
      <c r="M5" s="155"/>
      <c r="N5" s="155"/>
      <c r="O5" s="155"/>
      <c r="P5" s="155"/>
      <c r="Q5" s="155"/>
      <c r="R5" s="155"/>
      <c r="S5" s="155"/>
      <c r="T5" s="156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61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</row>
    <row r="6" spans="1:50" ht="16.5" customHeight="1" x14ac:dyDescent="0.25">
      <c r="B6" s="188" t="s">
        <v>435</v>
      </c>
      <c r="C6" s="189">
        <v>1</v>
      </c>
      <c r="D6" s="149" t="s">
        <v>13</v>
      </c>
      <c r="F6" s="182" t="s">
        <v>62</v>
      </c>
      <c r="G6" s="182">
        <v>3000</v>
      </c>
      <c r="H6" s="182">
        <v>38.1</v>
      </c>
      <c r="I6" s="152"/>
      <c r="J6" s="155"/>
      <c r="K6" s="155" t="str">
        <f>LEFT(K4,K5-1)</f>
        <v>TU 250</v>
      </c>
      <c r="L6" s="155"/>
      <c r="M6" s="155"/>
      <c r="N6" s="155"/>
      <c r="O6" s="155"/>
      <c r="P6" s="155"/>
      <c r="Q6" s="155"/>
      <c r="R6" s="155"/>
      <c r="S6" s="155"/>
      <c r="T6" s="156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61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</row>
    <row r="7" spans="1:50" x14ac:dyDescent="0.25">
      <c r="B7" s="188" t="s">
        <v>436</v>
      </c>
      <c r="F7" s="182" t="s">
        <v>63</v>
      </c>
      <c r="G7" s="182">
        <v>5000</v>
      </c>
      <c r="H7" s="182">
        <v>50</v>
      </c>
      <c r="I7" s="152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61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</row>
    <row r="8" spans="1:50" x14ac:dyDescent="0.25">
      <c r="B8" s="188" t="s">
        <v>278</v>
      </c>
      <c r="F8" s="182" t="s">
        <v>60</v>
      </c>
      <c r="G8" s="182">
        <v>7500</v>
      </c>
      <c r="H8" s="182">
        <v>63.5</v>
      </c>
      <c r="I8" s="152"/>
      <c r="J8" s="155"/>
      <c r="L8" s="155"/>
      <c r="M8" s="155"/>
      <c r="N8" s="155"/>
      <c r="O8" s="155"/>
      <c r="P8" s="155"/>
      <c r="Q8" s="155"/>
      <c r="R8" s="155"/>
      <c r="S8" s="155"/>
      <c r="T8" s="156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61"/>
      <c r="AH8" s="152"/>
      <c r="AI8" s="152"/>
      <c r="AJ8" s="158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</row>
    <row r="9" spans="1:50" x14ac:dyDescent="0.25">
      <c r="B9" s="188" t="s">
        <v>73</v>
      </c>
      <c r="F9" s="182" t="s">
        <v>67</v>
      </c>
      <c r="G9" s="182">
        <v>10000</v>
      </c>
      <c r="H9" s="182">
        <v>80</v>
      </c>
      <c r="I9" s="152"/>
      <c r="J9" s="155"/>
      <c r="K9" s="155" t="s">
        <v>270</v>
      </c>
      <c r="L9" s="155"/>
      <c r="M9" s="155"/>
      <c r="N9" s="155"/>
      <c r="O9" s="155"/>
      <c r="P9" s="155"/>
      <c r="Q9" s="155"/>
      <c r="R9" s="155"/>
      <c r="T9" s="156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61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x14ac:dyDescent="0.25">
      <c r="B10" s="189"/>
      <c r="F10" s="182" t="s">
        <v>64</v>
      </c>
      <c r="G10" s="182"/>
      <c r="H10" s="182">
        <v>100</v>
      </c>
      <c r="I10" s="152"/>
      <c r="J10" s="155"/>
      <c r="K10" s="159">
        <f>VLOOKUP($K$6,Tempdatabladet!$A$1:$AD$167,16,0)</f>
        <v>22.647529921091891</v>
      </c>
      <c r="N10" s="160" t="str">
        <f>IF(ISERROR(K10),"Temperature data not available","")</f>
        <v/>
      </c>
      <c r="O10" s="155"/>
      <c r="P10" s="155"/>
      <c r="Q10" s="155"/>
      <c r="R10" s="155"/>
      <c r="T10" s="156"/>
      <c r="U10" s="157"/>
      <c r="V10" s="157"/>
      <c r="W10" s="157"/>
      <c r="X10" s="157"/>
      <c r="Y10" s="157"/>
      <c r="Z10" s="157"/>
      <c r="AA10" s="157"/>
      <c r="AB10" s="161"/>
      <c r="AC10" s="161"/>
      <c r="AD10" s="161"/>
      <c r="AE10" s="157"/>
      <c r="AF10" s="157"/>
      <c r="AG10" s="161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</row>
    <row r="11" spans="1:50" x14ac:dyDescent="0.25">
      <c r="B11" s="189"/>
      <c r="F11" s="183" t="s">
        <v>71</v>
      </c>
      <c r="G11" s="183"/>
      <c r="H11" s="183">
        <v>125</v>
      </c>
      <c r="I11" s="152"/>
      <c r="J11" s="155"/>
      <c r="K11" s="159">
        <f>IF(ISERROR(K10),"No data",K10)</f>
        <v>22.647529921091891</v>
      </c>
      <c r="L11" s="159" t="s">
        <v>272</v>
      </c>
      <c r="N11" s="152" t="s">
        <v>281</v>
      </c>
      <c r="O11" s="155"/>
      <c r="P11" s="155"/>
      <c r="Q11" s="155"/>
      <c r="R11" s="155"/>
      <c r="T11" s="156"/>
      <c r="U11" s="157"/>
      <c r="V11" s="157"/>
      <c r="W11" s="157"/>
      <c r="X11" s="157"/>
      <c r="Y11" s="157"/>
      <c r="Z11" s="157"/>
      <c r="AA11" s="157"/>
      <c r="AB11" s="161"/>
      <c r="AC11" s="161"/>
      <c r="AD11" s="161"/>
      <c r="AE11" s="157"/>
      <c r="AF11" s="157"/>
      <c r="AG11" s="161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</row>
    <row r="12" spans="1:50" x14ac:dyDescent="0.25">
      <c r="B12" s="189"/>
      <c r="F12" s="183" t="s">
        <v>446</v>
      </c>
      <c r="G12" s="183"/>
      <c r="H12" s="183"/>
      <c r="I12" s="152"/>
      <c r="J12" s="155"/>
      <c r="K12" s="155"/>
      <c r="L12" s="155"/>
      <c r="M12" s="155"/>
      <c r="O12" s="155"/>
      <c r="P12" s="155"/>
      <c r="Q12" s="155"/>
      <c r="R12" s="155"/>
      <c r="S12" s="155"/>
      <c r="T12" s="156"/>
      <c r="U12" s="157"/>
      <c r="V12" s="157"/>
      <c r="W12" s="157"/>
      <c r="X12" s="157"/>
      <c r="Y12" s="157"/>
      <c r="Z12" s="157"/>
      <c r="AA12" s="157"/>
      <c r="AB12" s="161"/>
      <c r="AC12" s="161"/>
      <c r="AD12" s="161"/>
      <c r="AE12" s="157"/>
      <c r="AF12" s="157"/>
      <c r="AG12" s="161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</row>
    <row r="13" spans="1:50" x14ac:dyDescent="0.25">
      <c r="B13" s="189"/>
      <c r="F13" s="183" t="s">
        <v>65</v>
      </c>
      <c r="G13" s="183"/>
      <c r="H13" s="183"/>
      <c r="I13" s="152"/>
      <c r="J13" s="155"/>
      <c r="K13" s="155"/>
      <c r="L13" s="155"/>
      <c r="M13" s="155"/>
      <c r="O13" s="155"/>
      <c r="P13" s="155"/>
      <c r="Q13" s="155"/>
      <c r="R13" s="155"/>
      <c r="S13" s="155"/>
      <c r="T13" s="156"/>
      <c r="U13" s="157"/>
      <c r="V13" s="157"/>
      <c r="W13" s="157"/>
      <c r="X13" s="157"/>
      <c r="Y13" s="157"/>
      <c r="Z13" s="157"/>
      <c r="AA13" s="157"/>
      <c r="AB13" s="161"/>
      <c r="AC13" s="161"/>
      <c r="AD13" s="161"/>
      <c r="AE13" s="157"/>
      <c r="AF13" s="157"/>
      <c r="AG13" s="161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</row>
    <row r="14" spans="1:50" x14ac:dyDescent="0.25">
      <c r="B14" s="189"/>
      <c r="F14" s="183" t="s">
        <v>66</v>
      </c>
      <c r="G14" s="183"/>
      <c r="H14" s="183"/>
      <c r="I14" s="152"/>
      <c r="J14" s="155"/>
      <c r="K14" s="155"/>
      <c r="L14" s="155"/>
      <c r="M14" s="155"/>
      <c r="O14" s="155"/>
      <c r="P14" s="155"/>
      <c r="Q14" s="155"/>
      <c r="R14" s="155"/>
      <c r="S14" s="155"/>
      <c r="T14" s="156"/>
      <c r="U14" s="157"/>
      <c r="V14" s="157"/>
      <c r="W14" s="157"/>
      <c r="X14" s="157"/>
      <c r="Y14" s="157"/>
      <c r="Z14" s="157"/>
      <c r="AA14" s="157"/>
      <c r="AB14" s="161"/>
      <c r="AC14" s="161"/>
      <c r="AD14" s="161"/>
      <c r="AE14" s="157"/>
      <c r="AF14" s="157"/>
      <c r="AG14" s="161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</row>
    <row r="15" spans="1:50" x14ac:dyDescent="0.25">
      <c r="B15" s="189"/>
      <c r="F15" s="183" t="s">
        <v>69</v>
      </c>
      <c r="G15" s="183"/>
      <c r="H15" s="183"/>
      <c r="I15" s="152"/>
      <c r="J15" s="155"/>
      <c r="K15" s="159">
        <f>VLOOKUP($K$6,Tempdatabladet!$A$1:$AD$167,17,0)</f>
        <v>32.647529921091888</v>
      </c>
      <c r="L15" s="155"/>
      <c r="M15" s="155"/>
      <c r="O15" s="155"/>
      <c r="P15" s="155"/>
      <c r="Q15" s="155"/>
      <c r="R15" s="155"/>
      <c r="S15" s="155"/>
      <c r="T15" s="156"/>
      <c r="U15" s="157"/>
      <c r="V15" s="157"/>
      <c r="W15" s="157"/>
      <c r="X15" s="157"/>
      <c r="Y15" s="157"/>
      <c r="Z15" s="157"/>
      <c r="AA15" s="157"/>
      <c r="AB15" s="161"/>
      <c r="AC15" s="161"/>
      <c r="AD15" s="161"/>
      <c r="AE15" s="157"/>
      <c r="AF15" s="157"/>
      <c r="AG15" s="161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</row>
    <row r="16" spans="1:50" x14ac:dyDescent="0.25">
      <c r="B16" s="189"/>
      <c r="F16" s="183" t="s">
        <v>70</v>
      </c>
      <c r="G16" s="183"/>
      <c r="H16" s="183"/>
      <c r="I16" s="152"/>
      <c r="J16" s="155"/>
      <c r="K16" s="159">
        <f>IF(ISERROR(K15),"No data",K15)</f>
        <v>32.647529921091888</v>
      </c>
      <c r="L16" s="155" t="s">
        <v>272</v>
      </c>
      <c r="M16" s="155"/>
      <c r="N16" s="155"/>
      <c r="O16" s="155"/>
      <c r="P16" s="155"/>
      <c r="Q16" s="155"/>
      <c r="R16" s="155"/>
      <c r="T16" s="156"/>
      <c r="U16" s="156" t="s">
        <v>274</v>
      </c>
      <c r="V16" s="156"/>
      <c r="W16" s="156"/>
      <c r="X16" s="194">
        <v>1</v>
      </c>
      <c r="Y16" s="156" t="s">
        <v>59</v>
      </c>
      <c r="Z16" s="176"/>
      <c r="AA16" s="157"/>
      <c r="AB16" s="157"/>
      <c r="AC16" s="157"/>
      <c r="AD16" s="157"/>
      <c r="AE16" s="157"/>
      <c r="AF16" s="157"/>
      <c r="AG16" s="161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</row>
    <row r="17" spans="2:50" x14ac:dyDescent="0.25">
      <c r="B17" s="189"/>
      <c r="F17" s="183" t="s">
        <v>72</v>
      </c>
      <c r="G17" s="183"/>
      <c r="H17" s="183"/>
      <c r="I17" s="152"/>
      <c r="R17" s="152"/>
      <c r="T17" s="157"/>
      <c r="U17" s="156" t="s">
        <v>273</v>
      </c>
      <c r="V17" s="156"/>
      <c r="W17" s="201"/>
      <c r="X17" s="194">
        <v>150</v>
      </c>
      <c r="Y17" s="156" t="str">
        <f>'Unit conv'!B18</f>
        <v>bar</v>
      </c>
      <c r="Z17" s="163" t="str">
        <f>CONCATENATE("Maximum filling pressure is ",P2*FLOOR('Unit conv'!B17,0.01)," ",'Unit conv'!B18)</f>
        <v>Maximum filling pressure is 150 bar</v>
      </c>
      <c r="AA17" s="176"/>
      <c r="AB17" s="176"/>
      <c r="AC17" s="202" t="str">
        <f>IF(X17&gt;P2*'Unit conv'!B17,"Filling Pressure to High!","")</f>
        <v/>
      </c>
      <c r="AD17" s="161"/>
      <c r="AE17" s="161"/>
      <c r="AF17" s="161"/>
      <c r="AG17" s="161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</row>
    <row r="18" spans="2:50" ht="15" customHeight="1" x14ac:dyDescent="0.25">
      <c r="B18" s="189"/>
      <c r="F18" s="183" t="s">
        <v>1063</v>
      </c>
      <c r="G18" s="183"/>
      <c r="H18" s="183"/>
      <c r="T18" s="157"/>
      <c r="U18" s="156" t="s">
        <v>277</v>
      </c>
      <c r="V18" s="201"/>
      <c r="W18" s="201"/>
      <c r="X18" s="194">
        <v>10</v>
      </c>
      <c r="Y18" s="156" t="s">
        <v>19</v>
      </c>
      <c r="Z18" s="180" t="str">
        <f>Fjäderkurva!D51</f>
        <v/>
      </c>
      <c r="AA18" s="157"/>
      <c r="AB18" s="157"/>
      <c r="AC18" s="157"/>
      <c r="AD18" s="199"/>
      <c r="AE18" s="198"/>
      <c r="AF18" s="157"/>
      <c r="AG18" s="157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</row>
    <row r="19" spans="2:50" x14ac:dyDescent="0.25">
      <c r="B19" s="189"/>
      <c r="F19" s="183"/>
      <c r="G19" s="183"/>
      <c r="H19" s="183"/>
      <c r="T19" s="157"/>
      <c r="U19" s="195" t="s">
        <v>178</v>
      </c>
      <c r="V19" s="156"/>
      <c r="W19" s="156"/>
      <c r="X19" s="194">
        <v>20</v>
      </c>
      <c r="Y19" s="196" t="s">
        <v>268</v>
      </c>
      <c r="Z19" s="176"/>
      <c r="AA19" s="176"/>
      <c r="AB19" s="176"/>
      <c r="AC19" s="176"/>
      <c r="AD19" s="157"/>
      <c r="AE19" s="157"/>
      <c r="AF19" s="157"/>
      <c r="AG19" s="161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</row>
    <row r="20" spans="2:50" x14ac:dyDescent="0.25">
      <c r="B20" s="189"/>
      <c r="F20" s="183"/>
      <c r="G20" s="183"/>
      <c r="H20" s="183"/>
      <c r="T20" s="157"/>
      <c r="U20" s="196" t="s">
        <v>437</v>
      </c>
      <c r="V20" s="197"/>
      <c r="W20" s="156"/>
      <c r="X20" s="194">
        <v>20</v>
      </c>
      <c r="Y20" s="196" t="s">
        <v>269</v>
      </c>
      <c r="Z20" s="176"/>
      <c r="AA20" s="176"/>
      <c r="AB20" s="176"/>
      <c r="AC20" s="176"/>
      <c r="AD20" s="157"/>
      <c r="AE20" s="157"/>
      <c r="AF20" s="161"/>
      <c r="AG20" s="161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</row>
    <row r="21" spans="2:50" x14ac:dyDescent="0.25">
      <c r="B21" s="189"/>
      <c r="F21" s="183"/>
      <c r="G21" s="183"/>
      <c r="H21" s="183"/>
      <c r="K21" s="190"/>
      <c r="L21" s="149" t="s">
        <v>438</v>
      </c>
      <c r="T21" s="157"/>
      <c r="U21" s="165"/>
      <c r="V21" s="166"/>
      <c r="W21" s="157"/>
      <c r="X21" s="203"/>
      <c r="Y21" s="165"/>
      <c r="Z21" s="176"/>
      <c r="AA21" s="176"/>
      <c r="AB21" s="176"/>
      <c r="AC21" s="176"/>
      <c r="AD21" s="157"/>
      <c r="AE21" s="157"/>
      <c r="AF21" s="157"/>
      <c r="AG21" s="161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</row>
    <row r="22" spans="2:50" x14ac:dyDescent="0.25">
      <c r="B22" s="189"/>
      <c r="F22" s="183"/>
      <c r="G22" s="183"/>
      <c r="H22" s="183"/>
      <c r="L22" s="149" t="s">
        <v>439</v>
      </c>
      <c r="T22" s="157"/>
      <c r="U22" s="161"/>
      <c r="V22" s="161"/>
      <c r="W22" s="161"/>
      <c r="X22" s="161"/>
      <c r="Y22" s="161"/>
      <c r="Z22" s="157"/>
      <c r="AA22" s="157"/>
      <c r="AB22" s="157"/>
      <c r="AC22" s="157"/>
      <c r="AD22" s="157"/>
      <c r="AE22" s="157"/>
      <c r="AF22" s="157"/>
      <c r="AG22" s="161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</row>
    <row r="23" spans="2:50" x14ac:dyDescent="0.25">
      <c r="F23" s="162"/>
      <c r="G23" s="162"/>
      <c r="H23" s="162"/>
      <c r="T23" s="157"/>
      <c r="U23" s="211" t="str">
        <f>CONCATENATE("Total force of ",X16," gas spring",IF(X16&gt;1,"s","")," in ",AA42)</f>
        <v>Total force of 1 gas spring in kN</v>
      </c>
      <c r="V23" s="161"/>
      <c r="W23" s="161"/>
      <c r="X23" s="161"/>
      <c r="Y23" s="157"/>
      <c r="Z23" s="157"/>
      <c r="AA23" s="167"/>
      <c r="AB23" s="157"/>
      <c r="AC23" s="157"/>
      <c r="AD23" s="161"/>
      <c r="AE23" s="157"/>
      <c r="AF23" s="157"/>
      <c r="AG23" s="161"/>
      <c r="AH23" s="152"/>
      <c r="AI23" s="152"/>
      <c r="AJ23" s="152"/>
      <c r="AK23" s="152"/>
      <c r="AL23" s="168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</row>
    <row r="24" spans="2:50" x14ac:dyDescent="0.25">
      <c r="F24" s="169"/>
      <c r="G24" s="169"/>
      <c r="H24" s="169"/>
      <c r="T24" s="161"/>
      <c r="U24" s="208" t="str">
        <f>CONCATENATE("Selected spring: KALLER ",K6," with stroke length of ",M2," mm")</f>
        <v>Selected spring: KALLER TU 250 with stroke length of 10 mm</v>
      </c>
      <c r="V24" s="161"/>
      <c r="W24" s="161"/>
      <c r="X24" s="161"/>
      <c r="Y24" s="157"/>
      <c r="Z24" s="157"/>
      <c r="AA24" s="157"/>
      <c r="AB24" s="161"/>
      <c r="AC24" s="161"/>
      <c r="AD24" s="206" t="s">
        <v>440</v>
      </c>
      <c r="AE24" s="157"/>
      <c r="AF24" s="157"/>
      <c r="AG24" s="161" t="s">
        <v>279</v>
      </c>
      <c r="AH24" s="152" t="s">
        <v>279</v>
      </c>
      <c r="AI24" s="152"/>
      <c r="AJ24" s="152"/>
      <c r="AK24" s="200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</row>
    <row r="25" spans="2:50" x14ac:dyDescent="0.25">
      <c r="F25" s="169"/>
      <c r="G25" s="169"/>
      <c r="H25" s="169"/>
      <c r="T25" s="157"/>
      <c r="U25" s="161"/>
      <c r="V25" s="161"/>
      <c r="W25" s="157"/>
      <c r="X25" s="157"/>
      <c r="Y25" s="157"/>
      <c r="Z25" s="157"/>
      <c r="AA25" s="157"/>
      <c r="AB25" s="161"/>
      <c r="AC25" s="161"/>
      <c r="AD25" s="157"/>
      <c r="AE25" s="157"/>
      <c r="AF25" s="157"/>
      <c r="AG25" s="161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</row>
    <row r="26" spans="2:50" x14ac:dyDescent="0.25">
      <c r="F26" s="169"/>
      <c r="G26" s="169"/>
      <c r="H26" s="169"/>
      <c r="T26" s="157"/>
      <c r="U26" s="161"/>
      <c r="V26" s="161"/>
      <c r="W26" s="161"/>
      <c r="X26" s="161"/>
      <c r="Y26" s="157"/>
      <c r="Z26" s="157"/>
      <c r="AA26" s="157"/>
      <c r="AB26" s="161"/>
      <c r="AC26" s="157"/>
      <c r="AD26" s="157"/>
      <c r="AE26" s="157"/>
      <c r="AF26" s="157"/>
      <c r="AG26" s="161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</row>
    <row r="27" spans="2:50" x14ac:dyDescent="0.25">
      <c r="F27" s="169"/>
      <c r="G27" s="169"/>
      <c r="H27" s="169"/>
      <c r="T27" s="157"/>
      <c r="U27" s="161"/>
      <c r="V27" s="159">
        <f>AB46-Z46</f>
        <v>9.9999999999999964</v>
      </c>
      <c r="W27" s="152"/>
      <c r="X27" s="152"/>
      <c r="Y27" s="157"/>
      <c r="Z27" s="157"/>
      <c r="AA27" s="157"/>
      <c r="AB27" s="161"/>
      <c r="AC27" s="157"/>
      <c r="AD27" s="157"/>
      <c r="AE27" s="157"/>
      <c r="AF27" s="157"/>
      <c r="AG27" s="161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</row>
    <row r="28" spans="2:50" x14ac:dyDescent="0.25">
      <c r="F28" s="169"/>
      <c r="G28" s="169"/>
      <c r="H28" s="169"/>
      <c r="T28" s="157"/>
      <c r="U28" s="161"/>
      <c r="V28" s="152"/>
      <c r="W28" s="152"/>
      <c r="X28" s="152"/>
      <c r="Y28" s="157"/>
      <c r="Z28" s="157"/>
      <c r="AA28" s="157"/>
      <c r="AB28" s="161"/>
      <c r="AC28" s="157"/>
      <c r="AD28" s="157"/>
      <c r="AE28" s="157"/>
      <c r="AF28" s="156"/>
      <c r="AG28" s="161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</row>
    <row r="29" spans="2:50" x14ac:dyDescent="0.25">
      <c r="F29" s="169"/>
      <c r="G29" s="169"/>
      <c r="H29" s="169"/>
      <c r="T29" s="157"/>
      <c r="U29" s="161"/>
      <c r="V29" s="159">
        <f>80-AB46</f>
        <v>47.352470078908112</v>
      </c>
      <c r="W29" s="152"/>
      <c r="X29" s="152"/>
      <c r="Y29" s="157"/>
      <c r="Z29" s="157"/>
      <c r="AA29" s="157"/>
      <c r="AB29" s="161"/>
      <c r="AC29" s="157"/>
      <c r="AD29" s="157"/>
      <c r="AE29" s="157"/>
      <c r="AF29" s="157"/>
      <c r="AG29" s="161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</row>
    <row r="30" spans="2:50" x14ac:dyDescent="0.25">
      <c r="F30" s="169"/>
      <c r="G30" s="169"/>
      <c r="H30" s="169"/>
      <c r="T30" s="157"/>
      <c r="U30" s="161"/>
      <c r="V30" s="155">
        <v>20</v>
      </c>
      <c r="W30" s="170"/>
      <c r="X30" s="170"/>
      <c r="Y30" s="157"/>
      <c r="Z30" s="157"/>
      <c r="AA30" s="157"/>
      <c r="AB30" s="157"/>
      <c r="AC30" s="157"/>
      <c r="AD30" s="157"/>
      <c r="AE30" s="157"/>
      <c r="AF30" s="157"/>
      <c r="AG30" s="161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</row>
    <row r="31" spans="2:50" x14ac:dyDescent="0.25">
      <c r="F31" s="169"/>
      <c r="G31" s="169"/>
      <c r="H31" s="169"/>
      <c r="S31" s="170"/>
      <c r="T31" s="171"/>
      <c r="U31" s="161"/>
      <c r="V31" s="170"/>
      <c r="W31" s="170"/>
      <c r="X31" s="170"/>
      <c r="Y31" s="171"/>
      <c r="Z31" s="171"/>
      <c r="AA31" s="171"/>
      <c r="AB31" s="171"/>
      <c r="AC31" s="171"/>
      <c r="AD31" s="171"/>
      <c r="AE31" s="171"/>
      <c r="AF31" s="171"/>
      <c r="AG31" s="161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</row>
    <row r="32" spans="2:50" x14ac:dyDescent="0.25">
      <c r="F32" s="169"/>
      <c r="G32" s="169"/>
      <c r="H32" s="169"/>
      <c r="S32" s="170"/>
      <c r="T32" s="171"/>
      <c r="U32" s="161"/>
      <c r="V32" s="172">
        <f>Z46</f>
        <v>22.647529921091891</v>
      </c>
      <c r="W32" s="170"/>
      <c r="X32" s="170"/>
      <c r="Y32" s="171"/>
      <c r="Z32" s="171"/>
      <c r="AA32" s="171"/>
      <c r="AB32" s="171"/>
      <c r="AC32" s="171"/>
      <c r="AD32" s="171"/>
      <c r="AE32" s="171"/>
      <c r="AF32" s="171"/>
      <c r="AG32" s="161"/>
      <c r="AH32" s="152"/>
      <c r="AI32" s="152"/>
      <c r="AJ32" s="170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</row>
    <row r="33" spans="6:56" x14ac:dyDescent="0.25">
      <c r="F33" s="169"/>
      <c r="G33" s="169"/>
      <c r="H33" s="169"/>
      <c r="S33" s="170"/>
      <c r="T33" s="171"/>
      <c r="U33" s="161"/>
      <c r="V33" s="173">
        <f>V32-X20</f>
        <v>2.6475299210918912</v>
      </c>
      <c r="W33" s="170" t="s">
        <v>271</v>
      </c>
      <c r="X33" s="170"/>
      <c r="Y33" s="171"/>
      <c r="Z33" s="171"/>
      <c r="AA33" s="171"/>
      <c r="AB33" s="171"/>
      <c r="AC33" s="171"/>
      <c r="AD33" s="171"/>
      <c r="AE33" s="171"/>
      <c r="AF33" s="171"/>
      <c r="AG33" s="161"/>
      <c r="AH33" s="152"/>
      <c r="AI33" s="152"/>
      <c r="AJ33" s="170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</row>
    <row r="34" spans="6:56" x14ac:dyDescent="0.25">
      <c r="S34" s="170"/>
      <c r="T34" s="171"/>
      <c r="U34" s="161"/>
      <c r="V34" s="161"/>
      <c r="W34" s="161"/>
      <c r="X34" s="161"/>
      <c r="Y34" s="171"/>
      <c r="Z34" s="171"/>
      <c r="AA34" s="171"/>
      <c r="AB34" s="171"/>
      <c r="AC34" s="171"/>
      <c r="AD34" s="171"/>
      <c r="AE34" s="171"/>
      <c r="AF34" s="171"/>
      <c r="AG34" s="161"/>
      <c r="AH34" s="152"/>
      <c r="AI34" s="152"/>
      <c r="AJ34" s="170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</row>
    <row r="35" spans="6:56" x14ac:dyDescent="0.25">
      <c r="S35" s="170"/>
      <c r="T35" s="171"/>
      <c r="U35" s="157"/>
      <c r="V35" s="157"/>
      <c r="W35" s="157"/>
      <c r="X35" s="157"/>
      <c r="Y35" s="171"/>
      <c r="Z35" s="171"/>
      <c r="AA35" s="171"/>
      <c r="AB35" s="171"/>
      <c r="AC35" s="171"/>
      <c r="AD35" s="171"/>
      <c r="AE35" s="171"/>
      <c r="AF35" s="171"/>
      <c r="AG35" s="205"/>
      <c r="AH35" s="170"/>
      <c r="AI35" s="170"/>
      <c r="AJ35" s="170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</row>
    <row r="36" spans="6:56" x14ac:dyDescent="0.25">
      <c r="S36" s="170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205"/>
      <c r="AH36" s="170"/>
      <c r="AI36" s="170"/>
      <c r="AJ36" s="170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</row>
    <row r="37" spans="6:56" x14ac:dyDescent="0.25"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</row>
    <row r="38" spans="6:56" x14ac:dyDescent="0.25"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</row>
    <row r="39" spans="6:56" x14ac:dyDescent="0.25"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</row>
    <row r="40" spans="6:56" x14ac:dyDescent="0.25"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</row>
    <row r="41" spans="6:56" x14ac:dyDescent="0.25">
      <c r="T41" s="161"/>
      <c r="U41" s="221" t="str">
        <f ca="1">Fjäderkurva!AH10</f>
        <v>Isothermal force at estimated running temperature</v>
      </c>
      <c r="V41" s="157"/>
      <c r="W41" s="175"/>
      <c r="X41" s="157"/>
      <c r="Y41" s="161"/>
      <c r="Z41" s="161"/>
      <c r="AA41" s="161"/>
      <c r="AB41" s="176"/>
      <c r="AC41" s="165"/>
      <c r="AD41" s="161"/>
      <c r="AE41" s="161"/>
      <c r="AF41" s="161"/>
      <c r="AG41" s="161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</row>
    <row r="42" spans="6:56" x14ac:dyDescent="0.25">
      <c r="T42" s="161"/>
      <c r="U42" s="157" t="s">
        <v>441</v>
      </c>
      <c r="V42" s="157"/>
      <c r="W42" s="157"/>
      <c r="X42" s="157"/>
      <c r="Y42" s="161"/>
      <c r="Z42" s="177">
        <f ca="1">Fjäderkurva!D46</f>
        <v>2.7191670794911036</v>
      </c>
      <c r="AA42" s="153" t="str">
        <f>'Unit conv'!B24</f>
        <v>kN</v>
      </c>
      <c r="AB42" s="157"/>
      <c r="AC42" s="157"/>
      <c r="AD42" s="198"/>
      <c r="AE42" s="161"/>
      <c r="AF42" s="161"/>
      <c r="AG42" s="161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</row>
    <row r="43" spans="6:56" x14ac:dyDescent="0.25">
      <c r="T43" s="161"/>
      <c r="U43" s="157"/>
      <c r="V43" s="157"/>
      <c r="W43" s="157"/>
      <c r="X43" s="157"/>
      <c r="Y43" s="161"/>
      <c r="Z43" s="157"/>
      <c r="AA43" s="157"/>
      <c r="AB43" s="157"/>
      <c r="AC43" s="157"/>
      <c r="AD43" s="161"/>
      <c r="AE43" s="161"/>
      <c r="AF43" s="161"/>
      <c r="AG43" s="161"/>
      <c r="AH43" s="152"/>
      <c r="AI43" s="152"/>
      <c r="AJ43" s="155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</row>
    <row r="44" spans="6:56" x14ac:dyDescent="0.25">
      <c r="T44" s="161"/>
      <c r="U44" s="171" t="s">
        <v>442</v>
      </c>
      <c r="V44" s="171"/>
      <c r="W44" s="157"/>
      <c r="X44" s="157"/>
      <c r="Y44" s="161"/>
      <c r="Z44" s="179">
        <f ca="1">Fjäderkurva!D48</f>
        <v>3.5913527464976838</v>
      </c>
      <c r="AA44" s="178" t="str">
        <f>'Unit conv'!B24</f>
        <v>kN</v>
      </c>
      <c r="AB44" s="157"/>
      <c r="AC44" s="157"/>
      <c r="AD44" s="198"/>
      <c r="AE44" s="161"/>
      <c r="AF44" s="161"/>
      <c r="AG44" s="161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</row>
    <row r="45" spans="6:56" x14ac:dyDescent="0.25"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61"/>
      <c r="AG45" s="161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</row>
    <row r="46" spans="6:56" x14ac:dyDescent="0.25">
      <c r="T46" s="157"/>
      <c r="U46" s="165" t="s">
        <v>443</v>
      </c>
      <c r="V46" s="157"/>
      <c r="W46" s="157"/>
      <c r="X46" s="157"/>
      <c r="Y46" s="157"/>
      <c r="Z46" s="220">
        <f>K11</f>
        <v>22.647529921091891</v>
      </c>
      <c r="AA46" s="207"/>
      <c r="AB46" s="220">
        <f>K16</f>
        <v>32.647529921091888</v>
      </c>
      <c r="AC46" s="206" t="s">
        <v>193</v>
      </c>
      <c r="AD46" s="161"/>
      <c r="AE46" s="161"/>
      <c r="AF46" s="161"/>
      <c r="AG46" s="161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</row>
    <row r="47" spans="6:56" x14ac:dyDescent="0.25">
      <c r="T47" s="157"/>
      <c r="U47" s="161"/>
      <c r="V47" s="161"/>
      <c r="W47" s="161"/>
      <c r="X47" s="161"/>
      <c r="Y47" s="161"/>
      <c r="Z47" s="161"/>
      <c r="AA47" s="161"/>
      <c r="AB47" s="164" t="str">
        <f>IFERROR(IF(K15&gt;80,"High temp. Please contact your distributor for advice.",""),"")</f>
        <v/>
      </c>
      <c r="AC47" s="161"/>
      <c r="AD47" s="161"/>
      <c r="AE47" s="161"/>
      <c r="AF47" s="161"/>
      <c r="AG47" s="161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</row>
    <row r="48" spans="6:56" x14ac:dyDescent="0.25">
      <c r="T48" s="157"/>
      <c r="U48" s="161"/>
      <c r="V48" s="161"/>
      <c r="W48" s="161"/>
      <c r="X48" s="161"/>
      <c r="Y48" s="161"/>
      <c r="Z48" s="161"/>
      <c r="AA48" s="161"/>
      <c r="AB48" s="180" t="str">
        <f>N10</f>
        <v/>
      </c>
      <c r="AC48" s="161"/>
      <c r="AD48" s="161"/>
      <c r="AE48" s="161"/>
      <c r="AF48" s="161"/>
      <c r="AG48" s="161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</row>
    <row r="49" spans="20:56" x14ac:dyDescent="0.25">
      <c r="T49" s="157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</row>
    <row r="50" spans="20:56" x14ac:dyDescent="0.25">
      <c r="T50" s="157"/>
      <c r="U50" s="157" t="s">
        <v>444</v>
      </c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</row>
    <row r="51" spans="20:56" x14ac:dyDescent="0.25">
      <c r="T51" s="157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</row>
    <row r="52" spans="20:56" x14ac:dyDescent="0.25">
      <c r="T52" s="157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</row>
    <row r="53" spans="20:56" x14ac:dyDescent="0.25">
      <c r="T53" s="157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</row>
    <row r="54" spans="20:56" x14ac:dyDescent="0.25">
      <c r="T54" s="157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</row>
    <row r="55" spans="20:56" x14ac:dyDescent="0.25">
      <c r="T55" s="157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</row>
    <row r="56" spans="20:56" x14ac:dyDescent="0.25">
      <c r="T56" s="157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</row>
    <row r="57" spans="20:56" x14ac:dyDescent="0.25">
      <c r="T57" s="157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</row>
    <row r="58" spans="20:56" x14ac:dyDescent="0.25">
      <c r="T58" s="157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</row>
    <row r="59" spans="20:56" ht="15.75" customHeight="1" x14ac:dyDescent="0.25"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</row>
    <row r="60" spans="20:56" x14ac:dyDescent="0.25">
      <c r="T60" s="161"/>
      <c r="U60" s="157" t="s">
        <v>434</v>
      </c>
      <c r="V60" s="161"/>
      <c r="W60" s="161"/>
      <c r="X60" s="161"/>
      <c r="Y60" s="191" t="s">
        <v>433</v>
      </c>
      <c r="Z60" s="161"/>
      <c r="AA60" s="161"/>
      <c r="AB60" s="161"/>
      <c r="AC60" s="161"/>
      <c r="AD60" s="161"/>
      <c r="AE60" s="161"/>
      <c r="AF60" s="161"/>
      <c r="AG60" s="161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</row>
    <row r="61" spans="20:56" x14ac:dyDescent="0.25"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</row>
    <row r="62" spans="20:56" x14ac:dyDescent="0.25"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</row>
    <row r="63" spans="20:56" x14ac:dyDescent="0.25"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</row>
    <row r="70" spans="21:31" x14ac:dyDescent="0.25"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</row>
    <row r="71" spans="21:31" x14ac:dyDescent="0.25"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</row>
    <row r="72" spans="21:31" x14ac:dyDescent="0.25"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</row>
    <row r="73" spans="21:31" x14ac:dyDescent="0.25">
      <c r="U73" s="209"/>
      <c r="V73" s="209"/>
      <c r="W73" s="209"/>
      <c r="X73" s="209"/>
      <c r="Y73" s="209"/>
      <c r="Z73" s="209"/>
      <c r="AA73" s="209"/>
      <c r="AB73" s="209"/>
      <c r="AC73" s="210"/>
      <c r="AD73" s="209"/>
      <c r="AE73" s="209"/>
    </row>
    <row r="74" spans="21:31" x14ac:dyDescent="0.25"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</row>
    <row r="75" spans="21:31" x14ac:dyDescent="0.25"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</row>
    <row r="76" spans="21:31" x14ac:dyDescent="0.25"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</row>
    <row r="77" spans="21:31" x14ac:dyDescent="0.25"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</row>
    <row r="78" spans="21:31" x14ac:dyDescent="0.25"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</row>
    <row r="79" spans="21:31" x14ac:dyDescent="0.25"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</row>
    <row r="80" spans="21:31" x14ac:dyDescent="0.25"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</row>
    <row r="81" spans="21:31" x14ac:dyDescent="0.25">
      <c r="U81" s="152"/>
      <c r="V81" s="209"/>
      <c r="W81" s="209"/>
      <c r="X81" s="209"/>
      <c r="Y81" s="152"/>
      <c r="Z81" s="209"/>
      <c r="AA81" s="209"/>
      <c r="AB81" s="209"/>
      <c r="AC81" s="209"/>
      <c r="AD81" s="209"/>
      <c r="AE81" s="209"/>
    </row>
    <row r="82" spans="21:31" x14ac:dyDescent="0.25"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</row>
    <row r="83" spans="21:31" x14ac:dyDescent="0.25"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</row>
    <row r="84" spans="21:31" x14ac:dyDescent="0.25"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</row>
  </sheetData>
  <sheetProtection password="952C" sheet="1" objects="1" scenarios="1" selectLockedCells="1"/>
  <hyperlinks>
    <hyperlink ref="Y60" r:id="rId1"/>
  </hyperlinks>
  <pageMargins left="0.7" right="0.7" top="0.75" bottom="0.75" header="0.3" footer="0.3"/>
  <pageSetup paperSize="8" scale="9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List_Box_6">
              <controlPr defaultSize="0" autoLine="0" autoPict="0" macro="[0]!M1A">
                <anchor moveWithCells="1">
                  <from>
                    <xdr:col>22</xdr:col>
                    <xdr:colOff>76200</xdr:colOff>
                    <xdr:row>6</xdr:row>
                    <xdr:rowOff>104775</xdr:rowOff>
                  </from>
                  <to>
                    <xdr:col>24</xdr:col>
                    <xdr:colOff>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List_Box_7">
              <controlPr defaultSize="0" autoLine="0" autoPict="0" macro="[0]!M1A">
                <anchor moveWithCells="1">
                  <from>
                    <xdr:col>24</xdr:col>
                    <xdr:colOff>238125</xdr:colOff>
                    <xdr:row>6</xdr:row>
                    <xdr:rowOff>104775</xdr:rowOff>
                  </from>
                  <to>
                    <xdr:col>26</xdr:col>
                    <xdr:colOff>76200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List_Box_8">
              <controlPr defaultSize="0" autoLine="0" autoPict="0" macro="[0]!M1A">
                <anchor moveWithCells="1">
                  <from>
                    <xdr:col>26</xdr:col>
                    <xdr:colOff>323850</xdr:colOff>
                    <xdr:row>6</xdr:row>
                    <xdr:rowOff>104775</xdr:rowOff>
                  </from>
                  <to>
                    <xdr:col>28</xdr:col>
                    <xdr:colOff>19050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List_Box_9">
              <controlPr defaultSize="0" autoLine="0" autoPict="0" macro="[0]!M1A">
                <anchor moveWithCells="1">
                  <from>
                    <xdr:col>20</xdr:col>
                    <xdr:colOff>0</xdr:colOff>
                    <xdr:row>6</xdr:row>
                    <xdr:rowOff>104775</xdr:rowOff>
                  </from>
                  <to>
                    <xdr:col>21</xdr:col>
                    <xdr:colOff>476250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Drop Down 15">
              <controlPr defaultSize="0" autoLine="0" autoPict="0">
                <anchor moveWithCells="1">
                  <from>
                    <xdr:col>28</xdr:col>
                    <xdr:colOff>476250</xdr:colOff>
                    <xdr:row>6</xdr:row>
                    <xdr:rowOff>104775</xdr:rowOff>
                  </from>
                  <to>
                    <xdr:col>30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Drop Down 16">
              <controlPr defaultSize="0" autoLine="0" autoPict="0">
                <anchor moveWithCells="1">
                  <from>
                    <xdr:col>28</xdr:col>
                    <xdr:colOff>476250</xdr:colOff>
                    <xdr:row>9</xdr:row>
                    <xdr:rowOff>57150</xdr:rowOff>
                  </from>
                  <to>
                    <xdr:col>30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Drop Down 17">
              <controlPr defaultSize="0" autoLine="0" autoPict="0">
                <anchor moveWithCells="1">
                  <from>
                    <xdr:col>30</xdr:col>
                    <xdr:colOff>361950</xdr:colOff>
                    <xdr:row>6</xdr:row>
                    <xdr:rowOff>114300</xdr:rowOff>
                  </from>
                  <to>
                    <xdr:col>32</xdr:col>
                    <xdr:colOff>200025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N864"/>
  <sheetViews>
    <sheetView zoomScale="60" zoomScaleNormal="60" workbookViewId="0">
      <selection activeCell="O28" sqref="O28"/>
    </sheetView>
  </sheetViews>
  <sheetFormatPr defaultRowHeight="15" x14ac:dyDescent="0.25"/>
  <cols>
    <col min="3" max="3" width="19.140625" customWidth="1"/>
    <col min="8" max="8" width="10.140625" customWidth="1"/>
    <col min="9" max="9" width="18.85546875" customWidth="1"/>
    <col min="10" max="10" width="28.5703125" customWidth="1"/>
    <col min="13" max="13" width="11.5703125" bestFit="1" customWidth="1"/>
  </cols>
  <sheetData>
    <row r="1" spans="1:14" x14ac:dyDescent="0.25">
      <c r="A1" t="s">
        <v>282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s="3" t="s">
        <v>171</v>
      </c>
      <c r="J1" t="s">
        <v>280</v>
      </c>
    </row>
    <row r="2" spans="1:14" x14ac:dyDescent="0.25">
      <c r="D2" s="3" t="s">
        <v>5</v>
      </c>
      <c r="E2" s="3">
        <v>250</v>
      </c>
      <c r="F2" s="3">
        <v>10</v>
      </c>
      <c r="G2" s="3">
        <v>2650</v>
      </c>
      <c r="H2" s="3">
        <v>3500</v>
      </c>
      <c r="I2" s="3">
        <v>150</v>
      </c>
      <c r="J2" t="s">
        <v>366</v>
      </c>
    </row>
    <row r="3" spans="1:14" x14ac:dyDescent="0.25">
      <c r="D3" s="3" t="s">
        <v>5</v>
      </c>
      <c r="E3" s="3">
        <v>250</v>
      </c>
      <c r="F3" s="3">
        <v>12.7</v>
      </c>
      <c r="G3" s="3">
        <v>2650</v>
      </c>
      <c r="H3" s="3">
        <v>3500</v>
      </c>
      <c r="I3" s="3">
        <v>150</v>
      </c>
      <c r="J3" t="s">
        <v>447</v>
      </c>
    </row>
    <row r="4" spans="1:14" x14ac:dyDescent="0.25">
      <c r="D4" s="3" t="s">
        <v>5</v>
      </c>
      <c r="E4" s="3">
        <v>250</v>
      </c>
      <c r="F4" s="3">
        <v>16</v>
      </c>
      <c r="G4" s="3">
        <v>2650</v>
      </c>
      <c r="H4" s="3">
        <v>3500</v>
      </c>
      <c r="I4" s="3">
        <v>150</v>
      </c>
      <c r="J4" t="s">
        <v>283</v>
      </c>
      <c r="M4" t="s">
        <v>445</v>
      </c>
    </row>
    <row r="5" spans="1:14" x14ac:dyDescent="0.25">
      <c r="D5" s="3" t="s">
        <v>5</v>
      </c>
      <c r="E5" s="3">
        <v>250</v>
      </c>
      <c r="F5" s="3">
        <v>25</v>
      </c>
      <c r="G5" s="3">
        <v>2650</v>
      </c>
      <c r="H5" s="3">
        <v>3500</v>
      </c>
      <c r="I5" s="3">
        <v>150</v>
      </c>
      <c r="J5" t="s">
        <v>284</v>
      </c>
      <c r="M5" s="214">
        <v>42746</v>
      </c>
      <c r="N5" t="s">
        <v>1052</v>
      </c>
    </row>
    <row r="6" spans="1:14" x14ac:dyDescent="0.25">
      <c r="D6" s="3" t="s">
        <v>5</v>
      </c>
      <c r="E6" s="3">
        <v>250</v>
      </c>
      <c r="F6" s="3">
        <v>38.1</v>
      </c>
      <c r="G6" s="3">
        <v>2650</v>
      </c>
      <c r="H6" s="3">
        <v>3500</v>
      </c>
      <c r="I6" s="3">
        <v>150</v>
      </c>
      <c r="J6" t="s">
        <v>285</v>
      </c>
    </row>
    <row r="7" spans="1:14" x14ac:dyDescent="0.25">
      <c r="D7" s="3" t="s">
        <v>5</v>
      </c>
      <c r="E7" s="3">
        <v>250</v>
      </c>
      <c r="F7" s="3">
        <v>50</v>
      </c>
      <c r="G7" s="3">
        <v>2650</v>
      </c>
      <c r="H7" s="3">
        <v>3500</v>
      </c>
      <c r="I7" s="3">
        <v>150</v>
      </c>
      <c r="J7" t="s">
        <v>286</v>
      </c>
    </row>
    <row r="8" spans="1:14" x14ac:dyDescent="0.25">
      <c r="D8" s="3" t="s">
        <v>5</v>
      </c>
      <c r="E8" s="3">
        <v>250</v>
      </c>
      <c r="F8" s="3">
        <v>63.5</v>
      </c>
      <c r="G8" s="3">
        <v>2650</v>
      </c>
      <c r="H8" s="3">
        <v>3500</v>
      </c>
      <c r="I8" s="3">
        <v>150</v>
      </c>
      <c r="J8" t="s">
        <v>287</v>
      </c>
    </row>
    <row r="9" spans="1:14" x14ac:dyDescent="0.25">
      <c r="D9" s="3" t="s">
        <v>5</v>
      </c>
      <c r="E9" s="3">
        <v>250</v>
      </c>
      <c r="F9" s="3">
        <v>80</v>
      </c>
      <c r="G9" s="3">
        <v>2650</v>
      </c>
      <c r="H9" s="3">
        <v>3500</v>
      </c>
      <c r="I9" s="3">
        <v>150</v>
      </c>
      <c r="J9" t="s">
        <v>288</v>
      </c>
    </row>
    <row r="10" spans="1:14" x14ac:dyDescent="0.25">
      <c r="D10" s="3" t="s">
        <v>5</v>
      </c>
      <c r="E10" s="3">
        <v>250</v>
      </c>
      <c r="F10" s="3">
        <v>100</v>
      </c>
      <c r="G10" s="3">
        <v>2650</v>
      </c>
      <c r="H10" s="3">
        <v>3500</v>
      </c>
      <c r="I10" s="3">
        <v>150</v>
      </c>
      <c r="J10" t="s">
        <v>90</v>
      </c>
    </row>
    <row r="11" spans="1:14" x14ac:dyDescent="0.25">
      <c r="D11" s="3" t="s">
        <v>5</v>
      </c>
      <c r="E11" s="3">
        <v>250</v>
      </c>
      <c r="F11" s="3">
        <v>125</v>
      </c>
      <c r="G11" s="3">
        <v>2650</v>
      </c>
      <c r="H11" s="3">
        <v>3500</v>
      </c>
      <c r="I11" s="3">
        <v>150</v>
      </c>
      <c r="J11" t="s">
        <v>129</v>
      </c>
    </row>
    <row r="12" spans="1:14" x14ac:dyDescent="0.25">
      <c r="D12" s="3" t="s">
        <v>5</v>
      </c>
      <c r="E12" s="3">
        <v>500</v>
      </c>
      <c r="F12" s="3">
        <v>10</v>
      </c>
      <c r="G12" s="3">
        <v>4700</v>
      </c>
      <c r="H12" s="3">
        <v>6000</v>
      </c>
      <c r="I12" s="3">
        <v>150</v>
      </c>
      <c r="J12" t="s">
        <v>448</v>
      </c>
    </row>
    <row r="13" spans="1:14" x14ac:dyDescent="0.25">
      <c r="D13" s="3" t="s">
        <v>5</v>
      </c>
      <c r="E13" s="3">
        <v>500</v>
      </c>
      <c r="F13" s="3">
        <v>12.7</v>
      </c>
      <c r="G13" s="3">
        <v>4700</v>
      </c>
      <c r="H13" s="3">
        <v>6100</v>
      </c>
      <c r="I13" s="3">
        <v>150</v>
      </c>
      <c r="J13" t="s">
        <v>449</v>
      </c>
    </row>
    <row r="14" spans="1:14" x14ac:dyDescent="0.25">
      <c r="D14" s="3" t="s">
        <v>5</v>
      </c>
      <c r="E14" s="3">
        <v>500</v>
      </c>
      <c r="F14" s="3">
        <v>25</v>
      </c>
      <c r="G14" s="3">
        <v>4700</v>
      </c>
      <c r="H14" s="3">
        <v>6400</v>
      </c>
      <c r="I14" s="3">
        <v>150</v>
      </c>
      <c r="J14" t="s">
        <v>367</v>
      </c>
    </row>
    <row r="15" spans="1:14" x14ac:dyDescent="0.25">
      <c r="D15" s="3" t="s">
        <v>5</v>
      </c>
      <c r="E15" s="3">
        <v>500</v>
      </c>
      <c r="F15" s="3">
        <v>38.1</v>
      </c>
      <c r="G15" s="3">
        <v>4700</v>
      </c>
      <c r="H15" s="3">
        <v>6500</v>
      </c>
      <c r="I15" s="3">
        <v>150</v>
      </c>
      <c r="J15" t="s">
        <v>450</v>
      </c>
    </row>
    <row r="16" spans="1:14" x14ac:dyDescent="0.25">
      <c r="D16" s="3" t="s">
        <v>5</v>
      </c>
      <c r="E16" s="3">
        <v>500</v>
      </c>
      <c r="F16" s="3">
        <v>50</v>
      </c>
      <c r="G16" s="3">
        <v>4700</v>
      </c>
      <c r="H16" s="3">
        <v>6600</v>
      </c>
      <c r="I16" s="3">
        <v>150</v>
      </c>
      <c r="J16" t="s">
        <v>368</v>
      </c>
    </row>
    <row r="17" spans="4:10" x14ac:dyDescent="0.25">
      <c r="D17" s="3" t="s">
        <v>5</v>
      </c>
      <c r="E17" s="3">
        <v>500</v>
      </c>
      <c r="F17" s="3">
        <v>63.5</v>
      </c>
      <c r="G17" s="3">
        <v>4700</v>
      </c>
      <c r="H17" s="3">
        <v>6600</v>
      </c>
      <c r="I17" s="3">
        <v>150</v>
      </c>
      <c r="J17" t="s">
        <v>451</v>
      </c>
    </row>
    <row r="18" spans="4:10" x14ac:dyDescent="0.25">
      <c r="D18" s="3" t="s">
        <v>5</v>
      </c>
      <c r="E18" s="3">
        <v>500</v>
      </c>
      <c r="F18" s="3">
        <v>80</v>
      </c>
      <c r="G18" s="3">
        <v>4700</v>
      </c>
      <c r="H18" s="3">
        <v>6700</v>
      </c>
      <c r="I18" s="3">
        <v>150</v>
      </c>
      <c r="J18" t="s">
        <v>369</v>
      </c>
    </row>
    <row r="19" spans="4:10" x14ac:dyDescent="0.25">
      <c r="D19" s="3" t="s">
        <v>5</v>
      </c>
      <c r="E19" s="3">
        <v>500</v>
      </c>
      <c r="F19" s="3">
        <v>100</v>
      </c>
      <c r="G19" s="3">
        <v>4700</v>
      </c>
      <c r="H19" s="3">
        <v>6700</v>
      </c>
      <c r="I19" s="3">
        <v>150</v>
      </c>
      <c r="J19" t="s">
        <v>91</v>
      </c>
    </row>
    <row r="20" spans="4:10" x14ac:dyDescent="0.25">
      <c r="D20" s="3" t="s">
        <v>5</v>
      </c>
      <c r="E20" s="3">
        <v>500</v>
      </c>
      <c r="F20" s="3">
        <v>125</v>
      </c>
      <c r="G20" s="3">
        <v>4700</v>
      </c>
      <c r="H20" s="3">
        <v>6700</v>
      </c>
      <c r="I20" s="3">
        <v>150</v>
      </c>
      <c r="J20" t="s">
        <v>131</v>
      </c>
    </row>
    <row r="21" spans="4:10" x14ac:dyDescent="0.25">
      <c r="D21" s="3" t="s">
        <v>5</v>
      </c>
      <c r="E21" s="3">
        <v>500</v>
      </c>
      <c r="F21" s="3">
        <v>160</v>
      </c>
      <c r="G21" s="3">
        <v>4700</v>
      </c>
      <c r="H21" s="3">
        <v>6700</v>
      </c>
      <c r="I21" s="3">
        <v>150</v>
      </c>
      <c r="J21" t="s">
        <v>132</v>
      </c>
    </row>
    <row r="22" spans="4:10" x14ac:dyDescent="0.25">
      <c r="D22" s="3" t="s">
        <v>5</v>
      </c>
      <c r="E22" s="3">
        <v>750</v>
      </c>
      <c r="F22" s="3">
        <v>12.7</v>
      </c>
      <c r="G22" s="3">
        <v>7400</v>
      </c>
      <c r="H22" s="3">
        <v>12000</v>
      </c>
      <c r="I22" s="3">
        <v>150</v>
      </c>
      <c r="J22" t="s">
        <v>452</v>
      </c>
    </row>
    <row r="23" spans="4:10" x14ac:dyDescent="0.25">
      <c r="D23" s="3" t="s">
        <v>5</v>
      </c>
      <c r="E23" s="212">
        <v>750</v>
      </c>
      <c r="F23" s="3">
        <v>25</v>
      </c>
      <c r="G23" s="3">
        <v>7400</v>
      </c>
      <c r="H23" s="3">
        <v>12000</v>
      </c>
      <c r="I23" s="3">
        <v>150</v>
      </c>
      <c r="J23" t="s">
        <v>289</v>
      </c>
    </row>
    <row r="24" spans="4:10" x14ac:dyDescent="0.25">
      <c r="D24" s="3" t="s">
        <v>5</v>
      </c>
      <c r="E24" s="212">
        <v>750</v>
      </c>
      <c r="F24" s="3">
        <v>38.1</v>
      </c>
      <c r="G24" s="3">
        <v>7400</v>
      </c>
      <c r="H24" s="3">
        <v>12000</v>
      </c>
      <c r="I24" s="3">
        <v>150</v>
      </c>
      <c r="J24" t="s">
        <v>290</v>
      </c>
    </row>
    <row r="25" spans="4:10" x14ac:dyDescent="0.25">
      <c r="D25" s="3" t="s">
        <v>5</v>
      </c>
      <c r="E25" s="212">
        <v>750</v>
      </c>
      <c r="F25" s="3">
        <v>50</v>
      </c>
      <c r="G25" s="3">
        <v>7400</v>
      </c>
      <c r="H25" s="3">
        <v>12000</v>
      </c>
      <c r="I25" s="3">
        <v>150</v>
      </c>
      <c r="J25" t="s">
        <v>291</v>
      </c>
    </row>
    <row r="26" spans="4:10" x14ac:dyDescent="0.25">
      <c r="D26" s="3" t="s">
        <v>5</v>
      </c>
      <c r="E26" s="212">
        <v>750</v>
      </c>
      <c r="F26" s="3">
        <v>63.5</v>
      </c>
      <c r="G26" s="3">
        <v>7400</v>
      </c>
      <c r="H26" s="3">
        <v>12000</v>
      </c>
      <c r="I26" s="3">
        <v>150</v>
      </c>
      <c r="J26" t="s">
        <v>292</v>
      </c>
    </row>
    <row r="27" spans="4:10" x14ac:dyDescent="0.25">
      <c r="D27" s="3" t="s">
        <v>5</v>
      </c>
      <c r="E27" s="212">
        <v>750</v>
      </c>
      <c r="F27" s="3">
        <v>80</v>
      </c>
      <c r="G27" s="3">
        <v>7400</v>
      </c>
      <c r="H27" s="3">
        <v>12000</v>
      </c>
      <c r="I27" s="3">
        <v>150</v>
      </c>
      <c r="J27" t="s">
        <v>293</v>
      </c>
    </row>
    <row r="28" spans="4:10" x14ac:dyDescent="0.25">
      <c r="D28" s="3" t="s">
        <v>5</v>
      </c>
      <c r="E28" s="212">
        <v>750</v>
      </c>
      <c r="F28" s="3">
        <v>100</v>
      </c>
      <c r="G28" s="3">
        <v>7400</v>
      </c>
      <c r="H28" s="3">
        <v>12000</v>
      </c>
      <c r="I28" s="3">
        <v>150</v>
      </c>
      <c r="J28" t="s">
        <v>92</v>
      </c>
    </row>
    <row r="29" spans="4:10" x14ac:dyDescent="0.25">
      <c r="D29" s="3" t="s">
        <v>5</v>
      </c>
      <c r="E29" s="212">
        <v>750</v>
      </c>
      <c r="F29" s="3">
        <v>125</v>
      </c>
      <c r="G29" s="3">
        <v>7400</v>
      </c>
      <c r="H29" s="3">
        <v>12100</v>
      </c>
      <c r="I29" s="3">
        <v>150</v>
      </c>
      <c r="J29" t="s">
        <v>93</v>
      </c>
    </row>
    <row r="30" spans="4:10" x14ac:dyDescent="0.25">
      <c r="D30" s="3" t="s">
        <v>5</v>
      </c>
      <c r="E30" s="212">
        <v>750</v>
      </c>
      <c r="F30" s="3">
        <v>160</v>
      </c>
      <c r="G30" s="3">
        <v>7400</v>
      </c>
      <c r="H30" s="3">
        <v>12100</v>
      </c>
      <c r="I30" s="3">
        <v>150</v>
      </c>
      <c r="J30" t="s">
        <v>94</v>
      </c>
    </row>
    <row r="31" spans="4:10" x14ac:dyDescent="0.25">
      <c r="D31" s="3" t="s">
        <v>5</v>
      </c>
      <c r="E31" s="212">
        <v>750</v>
      </c>
      <c r="F31" s="3">
        <v>200</v>
      </c>
      <c r="G31" s="3">
        <v>7400</v>
      </c>
      <c r="H31" s="3">
        <v>12100</v>
      </c>
      <c r="I31" s="3">
        <v>150</v>
      </c>
      <c r="J31" t="s">
        <v>95</v>
      </c>
    </row>
    <row r="32" spans="4:10" x14ac:dyDescent="0.25">
      <c r="D32" s="3" t="s">
        <v>5</v>
      </c>
      <c r="E32" s="212">
        <v>750</v>
      </c>
      <c r="F32" s="3">
        <v>250</v>
      </c>
      <c r="G32" s="3">
        <v>7400</v>
      </c>
      <c r="H32" s="3">
        <v>12100</v>
      </c>
      <c r="I32" s="3">
        <v>150</v>
      </c>
      <c r="J32" t="s">
        <v>96</v>
      </c>
    </row>
    <row r="33" spans="4:10" x14ac:dyDescent="0.25">
      <c r="D33" s="3" t="s">
        <v>5</v>
      </c>
      <c r="E33" s="212">
        <v>750</v>
      </c>
      <c r="F33" s="3">
        <v>300</v>
      </c>
      <c r="G33" s="3">
        <v>7400</v>
      </c>
      <c r="H33" s="3">
        <v>12100</v>
      </c>
      <c r="I33" s="3">
        <v>150</v>
      </c>
      <c r="J33" t="s">
        <v>97</v>
      </c>
    </row>
    <row r="34" spans="4:10" x14ac:dyDescent="0.25">
      <c r="D34" s="3" t="s">
        <v>5</v>
      </c>
      <c r="E34" s="212">
        <v>1500</v>
      </c>
      <c r="F34" s="3">
        <v>25</v>
      </c>
      <c r="G34" s="3">
        <v>15000</v>
      </c>
      <c r="H34" s="3">
        <v>23000</v>
      </c>
      <c r="I34" s="3">
        <v>150</v>
      </c>
      <c r="J34" t="s">
        <v>295</v>
      </c>
    </row>
    <row r="35" spans="4:10" x14ac:dyDescent="0.25">
      <c r="D35" s="3" t="s">
        <v>5</v>
      </c>
      <c r="E35" s="212">
        <v>1500</v>
      </c>
      <c r="F35" s="3">
        <v>38.1</v>
      </c>
      <c r="G35" s="3">
        <v>15000</v>
      </c>
      <c r="H35" s="3">
        <v>23000</v>
      </c>
      <c r="I35" s="3">
        <v>150</v>
      </c>
      <c r="J35" t="s">
        <v>296</v>
      </c>
    </row>
    <row r="36" spans="4:10" x14ac:dyDescent="0.25">
      <c r="D36" s="3" t="s">
        <v>5</v>
      </c>
      <c r="E36" s="212">
        <v>1500</v>
      </c>
      <c r="F36" s="3">
        <v>50</v>
      </c>
      <c r="G36" s="3">
        <v>15000</v>
      </c>
      <c r="H36" s="3">
        <v>23000</v>
      </c>
      <c r="I36" s="3">
        <v>150</v>
      </c>
      <c r="J36" t="s">
        <v>297</v>
      </c>
    </row>
    <row r="37" spans="4:10" x14ac:dyDescent="0.25">
      <c r="D37" s="3" t="s">
        <v>5</v>
      </c>
      <c r="E37" s="212">
        <v>1500</v>
      </c>
      <c r="F37" s="3">
        <v>63.5</v>
      </c>
      <c r="G37" s="3">
        <v>15000</v>
      </c>
      <c r="H37" s="3">
        <v>23000</v>
      </c>
      <c r="I37" s="3">
        <v>150</v>
      </c>
      <c r="J37" t="s">
        <v>298</v>
      </c>
    </row>
    <row r="38" spans="4:10" x14ac:dyDescent="0.25">
      <c r="D38" s="3" t="s">
        <v>5</v>
      </c>
      <c r="E38" s="212">
        <v>1500</v>
      </c>
      <c r="F38" s="3">
        <v>80</v>
      </c>
      <c r="G38" s="3">
        <v>15000</v>
      </c>
      <c r="H38" s="3">
        <v>23000</v>
      </c>
      <c r="I38" s="3">
        <v>150</v>
      </c>
      <c r="J38" t="s">
        <v>299</v>
      </c>
    </row>
    <row r="39" spans="4:10" x14ac:dyDescent="0.25">
      <c r="D39" s="3" t="s">
        <v>5</v>
      </c>
      <c r="E39" s="212">
        <v>1500</v>
      </c>
      <c r="F39" s="3">
        <v>100</v>
      </c>
      <c r="G39" s="3">
        <v>15000</v>
      </c>
      <c r="H39" s="3">
        <v>23000</v>
      </c>
      <c r="I39" s="3">
        <v>150</v>
      </c>
      <c r="J39" t="s">
        <v>98</v>
      </c>
    </row>
    <row r="40" spans="4:10" x14ac:dyDescent="0.25">
      <c r="D40" s="3" t="s">
        <v>5</v>
      </c>
      <c r="E40" s="212">
        <v>1500</v>
      </c>
      <c r="F40" s="3">
        <v>125</v>
      </c>
      <c r="G40" s="3">
        <v>15000</v>
      </c>
      <c r="H40" s="3">
        <v>23000</v>
      </c>
      <c r="I40" s="3">
        <v>150</v>
      </c>
      <c r="J40" t="s">
        <v>99</v>
      </c>
    </row>
    <row r="41" spans="4:10" x14ac:dyDescent="0.25">
      <c r="D41" s="3" t="s">
        <v>5</v>
      </c>
      <c r="E41" s="212">
        <v>1500</v>
      </c>
      <c r="F41" s="3">
        <v>160</v>
      </c>
      <c r="G41" s="3">
        <v>15000</v>
      </c>
      <c r="H41" s="3">
        <v>23000</v>
      </c>
      <c r="I41" s="3">
        <v>150</v>
      </c>
      <c r="J41" t="s">
        <v>100</v>
      </c>
    </row>
    <row r="42" spans="4:10" x14ac:dyDescent="0.25">
      <c r="D42" s="3" t="s">
        <v>5</v>
      </c>
      <c r="E42" s="212">
        <v>1500</v>
      </c>
      <c r="F42" s="3">
        <v>200</v>
      </c>
      <c r="G42" s="3">
        <v>15000</v>
      </c>
      <c r="H42" s="3">
        <v>23000</v>
      </c>
      <c r="I42" s="3">
        <v>150</v>
      </c>
      <c r="J42" t="s">
        <v>101</v>
      </c>
    </row>
    <row r="43" spans="4:10" x14ac:dyDescent="0.25">
      <c r="D43" s="3" t="s">
        <v>5</v>
      </c>
      <c r="E43" s="212">
        <v>1500</v>
      </c>
      <c r="F43" s="3">
        <v>250</v>
      </c>
      <c r="G43" s="3">
        <v>15000</v>
      </c>
      <c r="H43" s="3">
        <v>23000</v>
      </c>
      <c r="I43" s="3">
        <v>150</v>
      </c>
      <c r="J43" t="s">
        <v>102</v>
      </c>
    </row>
    <row r="44" spans="4:10" x14ac:dyDescent="0.25">
      <c r="D44" s="3" t="s">
        <v>5</v>
      </c>
      <c r="E44" s="212">
        <v>1500</v>
      </c>
      <c r="F44" s="3">
        <v>300</v>
      </c>
      <c r="G44" s="3">
        <v>15000</v>
      </c>
      <c r="H44" s="3">
        <v>23000</v>
      </c>
      <c r="I44" s="3">
        <v>150</v>
      </c>
      <c r="J44" t="s">
        <v>103</v>
      </c>
    </row>
    <row r="45" spans="4:10" x14ac:dyDescent="0.25">
      <c r="D45" s="3" t="s">
        <v>5</v>
      </c>
      <c r="E45" s="212">
        <v>3000</v>
      </c>
      <c r="F45" s="3">
        <v>25</v>
      </c>
      <c r="G45" s="3">
        <v>30000</v>
      </c>
      <c r="H45" s="3">
        <v>42000</v>
      </c>
      <c r="I45" s="3">
        <v>150</v>
      </c>
      <c r="J45" t="s">
        <v>302</v>
      </c>
    </row>
    <row r="46" spans="4:10" x14ac:dyDescent="0.25">
      <c r="D46" s="3" t="s">
        <v>5</v>
      </c>
      <c r="E46" s="212">
        <v>3000</v>
      </c>
      <c r="F46" s="3">
        <v>38.1</v>
      </c>
      <c r="G46" s="3">
        <v>30000</v>
      </c>
      <c r="H46" s="3">
        <v>43000</v>
      </c>
      <c r="I46" s="3">
        <v>150</v>
      </c>
      <c r="J46" t="s">
        <v>303</v>
      </c>
    </row>
    <row r="47" spans="4:10" x14ac:dyDescent="0.25">
      <c r="D47" s="3" t="s">
        <v>5</v>
      </c>
      <c r="E47" s="212">
        <v>3000</v>
      </c>
      <c r="F47" s="3">
        <v>50</v>
      </c>
      <c r="G47" s="3">
        <v>30000</v>
      </c>
      <c r="H47" s="3">
        <v>44000</v>
      </c>
      <c r="I47" s="3">
        <v>150</v>
      </c>
      <c r="J47" t="s">
        <v>304</v>
      </c>
    </row>
    <row r="48" spans="4:10" x14ac:dyDescent="0.25">
      <c r="D48" s="3" t="s">
        <v>5</v>
      </c>
      <c r="E48" s="212">
        <v>3000</v>
      </c>
      <c r="F48" s="3">
        <v>63.5</v>
      </c>
      <c r="G48" s="3">
        <v>30000</v>
      </c>
      <c r="H48" s="3">
        <v>45000</v>
      </c>
      <c r="I48" s="3">
        <v>150</v>
      </c>
      <c r="J48" t="s">
        <v>305</v>
      </c>
    </row>
    <row r="49" spans="4:10" x14ac:dyDescent="0.25">
      <c r="D49" s="3" t="s">
        <v>5</v>
      </c>
      <c r="E49" s="212">
        <v>3000</v>
      </c>
      <c r="F49" s="3">
        <v>80</v>
      </c>
      <c r="G49" s="3">
        <v>30000</v>
      </c>
      <c r="H49" s="3">
        <v>46000</v>
      </c>
      <c r="I49" s="3">
        <v>150</v>
      </c>
      <c r="J49" t="s">
        <v>306</v>
      </c>
    </row>
    <row r="50" spans="4:10" x14ac:dyDescent="0.25">
      <c r="D50" s="3" t="s">
        <v>5</v>
      </c>
      <c r="E50" s="212">
        <v>3000</v>
      </c>
      <c r="F50" s="3">
        <v>100</v>
      </c>
      <c r="G50" s="3">
        <v>30000</v>
      </c>
      <c r="H50" s="3">
        <v>47000</v>
      </c>
      <c r="I50" s="3">
        <v>150</v>
      </c>
      <c r="J50" t="s">
        <v>104</v>
      </c>
    </row>
    <row r="51" spans="4:10" x14ac:dyDescent="0.25">
      <c r="D51" s="3" t="s">
        <v>5</v>
      </c>
      <c r="E51" s="212">
        <v>3000</v>
      </c>
      <c r="F51" s="3">
        <v>125</v>
      </c>
      <c r="G51" s="3">
        <v>30000</v>
      </c>
      <c r="H51" s="3">
        <v>47000</v>
      </c>
      <c r="I51" s="3">
        <v>150</v>
      </c>
      <c r="J51" t="s">
        <v>105</v>
      </c>
    </row>
    <row r="52" spans="4:10" x14ac:dyDescent="0.25">
      <c r="D52" s="3" t="s">
        <v>5</v>
      </c>
      <c r="E52" s="212">
        <v>3000</v>
      </c>
      <c r="F52" s="3">
        <v>160</v>
      </c>
      <c r="G52" s="3">
        <v>30000</v>
      </c>
      <c r="H52" s="3">
        <v>47000</v>
      </c>
      <c r="I52" s="3">
        <v>150</v>
      </c>
      <c r="J52" t="s">
        <v>106</v>
      </c>
    </row>
    <row r="53" spans="4:10" x14ac:dyDescent="0.25">
      <c r="D53" s="3" t="s">
        <v>5</v>
      </c>
      <c r="E53" s="212">
        <v>3000</v>
      </c>
      <c r="F53" s="3">
        <v>200</v>
      </c>
      <c r="G53" s="3">
        <v>30000</v>
      </c>
      <c r="H53" s="3">
        <v>48000</v>
      </c>
      <c r="I53" s="3">
        <v>150</v>
      </c>
      <c r="J53" t="s">
        <v>107</v>
      </c>
    </row>
    <row r="54" spans="4:10" x14ac:dyDescent="0.25">
      <c r="D54" s="3" t="s">
        <v>5</v>
      </c>
      <c r="E54" s="212">
        <v>3000</v>
      </c>
      <c r="F54" s="3">
        <v>250</v>
      </c>
      <c r="G54" s="3">
        <v>30000</v>
      </c>
      <c r="H54" s="3">
        <v>48000</v>
      </c>
      <c r="I54" s="3">
        <v>150</v>
      </c>
      <c r="J54" t="s">
        <v>108</v>
      </c>
    </row>
    <row r="55" spans="4:10" x14ac:dyDescent="0.25">
      <c r="D55" s="3" t="s">
        <v>5</v>
      </c>
      <c r="E55" s="212">
        <v>3000</v>
      </c>
      <c r="F55" s="3">
        <v>300</v>
      </c>
      <c r="G55" s="3">
        <v>30000</v>
      </c>
      <c r="H55" s="3">
        <v>48000</v>
      </c>
      <c r="I55" s="3">
        <v>150</v>
      </c>
      <c r="J55" t="s">
        <v>109</v>
      </c>
    </row>
    <row r="56" spans="4:10" x14ac:dyDescent="0.25">
      <c r="D56" s="3" t="s">
        <v>5</v>
      </c>
      <c r="E56" s="212">
        <v>5000</v>
      </c>
      <c r="F56" s="3">
        <v>25</v>
      </c>
      <c r="G56" s="3">
        <v>50000</v>
      </c>
      <c r="H56" s="3">
        <v>71000</v>
      </c>
      <c r="I56" s="3">
        <v>150</v>
      </c>
      <c r="J56" t="s">
        <v>308</v>
      </c>
    </row>
    <row r="57" spans="4:10" x14ac:dyDescent="0.25">
      <c r="D57" s="3" t="s">
        <v>5</v>
      </c>
      <c r="E57" s="212">
        <v>5000</v>
      </c>
      <c r="F57" s="3">
        <v>38.1</v>
      </c>
      <c r="G57" s="3">
        <v>50000</v>
      </c>
      <c r="H57" s="3">
        <v>75000</v>
      </c>
      <c r="I57" s="3">
        <v>150</v>
      </c>
      <c r="J57" t="s">
        <v>309</v>
      </c>
    </row>
    <row r="58" spans="4:10" x14ac:dyDescent="0.25">
      <c r="D58" s="3" t="s">
        <v>5</v>
      </c>
      <c r="E58" s="212">
        <v>5000</v>
      </c>
      <c r="F58" s="3">
        <v>50</v>
      </c>
      <c r="G58" s="3">
        <v>50000</v>
      </c>
      <c r="H58" s="3">
        <v>77000</v>
      </c>
      <c r="I58" s="3">
        <v>150</v>
      </c>
      <c r="J58" t="s">
        <v>310</v>
      </c>
    </row>
    <row r="59" spans="4:10" x14ac:dyDescent="0.25">
      <c r="D59" s="3" t="s">
        <v>5</v>
      </c>
      <c r="E59" s="212">
        <v>5000</v>
      </c>
      <c r="F59" s="3">
        <v>63.5</v>
      </c>
      <c r="G59" s="3">
        <v>50000</v>
      </c>
      <c r="H59" s="3">
        <v>80000</v>
      </c>
      <c r="I59" s="3">
        <v>150</v>
      </c>
      <c r="J59" t="s">
        <v>311</v>
      </c>
    </row>
    <row r="60" spans="4:10" x14ac:dyDescent="0.25">
      <c r="D60" s="3" t="s">
        <v>5</v>
      </c>
      <c r="E60" s="212">
        <v>5000</v>
      </c>
      <c r="F60" s="3">
        <v>80</v>
      </c>
      <c r="G60" s="3">
        <v>50000</v>
      </c>
      <c r="H60" s="3">
        <v>81000</v>
      </c>
      <c r="I60" s="3">
        <v>150</v>
      </c>
      <c r="J60" t="s">
        <v>312</v>
      </c>
    </row>
    <row r="61" spans="4:10" x14ac:dyDescent="0.25">
      <c r="D61" s="3" t="s">
        <v>5</v>
      </c>
      <c r="E61" s="212">
        <v>5000</v>
      </c>
      <c r="F61" s="3">
        <v>100</v>
      </c>
      <c r="G61" s="3">
        <v>50000</v>
      </c>
      <c r="H61" s="3">
        <v>82000</v>
      </c>
      <c r="I61" s="3">
        <v>150</v>
      </c>
      <c r="J61" t="s">
        <v>110</v>
      </c>
    </row>
    <row r="62" spans="4:10" x14ac:dyDescent="0.25">
      <c r="D62" s="3" t="s">
        <v>5</v>
      </c>
      <c r="E62" s="212">
        <v>5000</v>
      </c>
      <c r="F62" s="3">
        <v>125</v>
      </c>
      <c r="G62" s="3">
        <v>50000</v>
      </c>
      <c r="H62" s="3">
        <v>82000</v>
      </c>
      <c r="I62" s="3">
        <v>150</v>
      </c>
      <c r="J62" t="s">
        <v>111</v>
      </c>
    </row>
    <row r="63" spans="4:10" x14ac:dyDescent="0.25">
      <c r="D63" s="3" t="s">
        <v>5</v>
      </c>
      <c r="E63" s="212">
        <v>5000</v>
      </c>
      <c r="F63" s="3">
        <v>160</v>
      </c>
      <c r="G63" s="3">
        <v>50000</v>
      </c>
      <c r="H63" s="3">
        <v>83000</v>
      </c>
      <c r="I63" s="3">
        <v>150</v>
      </c>
      <c r="J63" t="s">
        <v>112</v>
      </c>
    </row>
    <row r="64" spans="4:10" x14ac:dyDescent="0.25">
      <c r="D64" s="3" t="s">
        <v>5</v>
      </c>
      <c r="E64" s="212">
        <v>5000</v>
      </c>
      <c r="F64" s="3">
        <v>200</v>
      </c>
      <c r="G64" s="3">
        <v>50000</v>
      </c>
      <c r="H64" s="3">
        <v>84000</v>
      </c>
      <c r="I64" s="3">
        <v>150</v>
      </c>
      <c r="J64" t="s">
        <v>113</v>
      </c>
    </row>
    <row r="65" spans="4:10" x14ac:dyDescent="0.25">
      <c r="D65" s="3" t="s">
        <v>5</v>
      </c>
      <c r="E65" s="212">
        <v>5000</v>
      </c>
      <c r="F65" s="3">
        <v>250</v>
      </c>
      <c r="G65" s="3">
        <v>50000</v>
      </c>
      <c r="H65" s="3">
        <v>84000</v>
      </c>
      <c r="I65" s="3">
        <v>150</v>
      </c>
      <c r="J65" t="s">
        <v>114</v>
      </c>
    </row>
    <row r="66" spans="4:10" x14ac:dyDescent="0.25">
      <c r="D66" s="3" t="s">
        <v>5</v>
      </c>
      <c r="E66" s="212">
        <v>5000</v>
      </c>
      <c r="F66" s="3">
        <v>300</v>
      </c>
      <c r="G66" s="3">
        <v>50000</v>
      </c>
      <c r="H66" s="3">
        <v>84000</v>
      </c>
      <c r="I66" s="3">
        <v>150</v>
      </c>
      <c r="J66" t="s">
        <v>115</v>
      </c>
    </row>
    <row r="67" spans="4:10" x14ac:dyDescent="0.25">
      <c r="D67" s="3" t="s">
        <v>5</v>
      </c>
      <c r="E67" s="212">
        <v>7500</v>
      </c>
      <c r="F67" s="3">
        <v>25</v>
      </c>
      <c r="G67" s="3">
        <v>75000</v>
      </c>
      <c r="H67" s="3">
        <v>105000</v>
      </c>
      <c r="I67" s="3">
        <v>150</v>
      </c>
      <c r="J67" t="s">
        <v>314</v>
      </c>
    </row>
    <row r="68" spans="4:10" x14ac:dyDescent="0.25">
      <c r="D68" s="3" t="s">
        <v>5</v>
      </c>
      <c r="E68" s="212">
        <v>7500</v>
      </c>
      <c r="F68" s="3">
        <v>38.1</v>
      </c>
      <c r="G68" s="3">
        <v>75000</v>
      </c>
      <c r="H68" s="3">
        <v>110000</v>
      </c>
      <c r="I68" s="3">
        <v>150</v>
      </c>
      <c r="J68" t="s">
        <v>315</v>
      </c>
    </row>
    <row r="69" spans="4:10" x14ac:dyDescent="0.25">
      <c r="D69" s="3" t="s">
        <v>5</v>
      </c>
      <c r="E69" s="212">
        <v>7500</v>
      </c>
      <c r="F69" s="3">
        <v>50</v>
      </c>
      <c r="G69" s="3">
        <v>75000</v>
      </c>
      <c r="H69" s="3">
        <v>113000</v>
      </c>
      <c r="I69" s="3">
        <v>150</v>
      </c>
      <c r="J69" t="s">
        <v>316</v>
      </c>
    </row>
    <row r="70" spans="4:10" x14ac:dyDescent="0.25">
      <c r="D70" s="3" t="s">
        <v>5</v>
      </c>
      <c r="E70" s="212">
        <v>7500</v>
      </c>
      <c r="F70" s="3">
        <v>63.5</v>
      </c>
      <c r="G70" s="3">
        <v>75000</v>
      </c>
      <c r="H70" s="3">
        <v>115000</v>
      </c>
      <c r="I70" s="3">
        <v>150</v>
      </c>
      <c r="J70" t="s">
        <v>317</v>
      </c>
    </row>
    <row r="71" spans="4:10" x14ac:dyDescent="0.25">
      <c r="D71" s="3" t="s">
        <v>5</v>
      </c>
      <c r="E71" s="212">
        <v>7500</v>
      </c>
      <c r="F71" s="3">
        <v>80</v>
      </c>
      <c r="G71" s="3">
        <v>75000</v>
      </c>
      <c r="H71" s="3">
        <v>117000</v>
      </c>
      <c r="I71" s="3">
        <v>150</v>
      </c>
      <c r="J71" t="s">
        <v>318</v>
      </c>
    </row>
    <row r="72" spans="4:10" x14ac:dyDescent="0.25">
      <c r="D72" s="3" t="s">
        <v>5</v>
      </c>
      <c r="E72" s="212">
        <v>7500</v>
      </c>
      <c r="F72" s="3">
        <v>100</v>
      </c>
      <c r="G72" s="3">
        <v>75000</v>
      </c>
      <c r="H72" s="3">
        <v>119000</v>
      </c>
      <c r="I72" s="3">
        <v>150</v>
      </c>
      <c r="J72" t="s">
        <v>116</v>
      </c>
    </row>
    <row r="73" spans="4:10" x14ac:dyDescent="0.25">
      <c r="D73" s="3" t="s">
        <v>5</v>
      </c>
      <c r="E73" s="212">
        <v>7500</v>
      </c>
      <c r="F73" s="3">
        <v>125</v>
      </c>
      <c r="G73" s="3">
        <v>75000</v>
      </c>
      <c r="H73" s="3">
        <v>121000</v>
      </c>
      <c r="I73" s="3">
        <v>150</v>
      </c>
      <c r="J73" t="s">
        <v>117</v>
      </c>
    </row>
    <row r="74" spans="4:10" x14ac:dyDescent="0.25">
      <c r="D74" s="3" t="s">
        <v>5</v>
      </c>
      <c r="E74" s="212">
        <v>7500</v>
      </c>
      <c r="F74" s="3">
        <v>160</v>
      </c>
      <c r="G74" s="3">
        <v>75000</v>
      </c>
      <c r="H74" s="3">
        <v>122000</v>
      </c>
      <c r="I74" s="3">
        <v>150</v>
      </c>
      <c r="J74" t="s">
        <v>118</v>
      </c>
    </row>
    <row r="75" spans="4:10" x14ac:dyDescent="0.25">
      <c r="D75" s="3" t="s">
        <v>5</v>
      </c>
      <c r="E75" s="212">
        <v>7500</v>
      </c>
      <c r="F75" s="3">
        <v>200</v>
      </c>
      <c r="G75" s="3">
        <v>75000</v>
      </c>
      <c r="H75" s="3">
        <v>123000</v>
      </c>
      <c r="I75" s="3">
        <v>150</v>
      </c>
      <c r="J75" t="s">
        <v>119</v>
      </c>
    </row>
    <row r="76" spans="4:10" x14ac:dyDescent="0.25">
      <c r="D76" s="3" t="s">
        <v>5</v>
      </c>
      <c r="E76" s="212">
        <v>7500</v>
      </c>
      <c r="F76" s="3">
        <v>250</v>
      </c>
      <c r="G76" s="3">
        <v>75000</v>
      </c>
      <c r="H76" s="3">
        <v>124000</v>
      </c>
      <c r="I76" s="3">
        <v>150</v>
      </c>
      <c r="J76" t="s">
        <v>120</v>
      </c>
    </row>
    <row r="77" spans="4:10" x14ac:dyDescent="0.25">
      <c r="D77" s="3" t="s">
        <v>5</v>
      </c>
      <c r="E77" s="212">
        <v>7500</v>
      </c>
      <c r="F77" s="3">
        <v>300</v>
      </c>
      <c r="G77" s="3">
        <v>75000</v>
      </c>
      <c r="H77" s="3">
        <v>124000</v>
      </c>
      <c r="I77" s="3">
        <v>150</v>
      </c>
      <c r="J77" t="s">
        <v>121</v>
      </c>
    </row>
    <row r="78" spans="4:10" x14ac:dyDescent="0.25">
      <c r="D78" s="3" t="s">
        <v>5</v>
      </c>
      <c r="E78" s="212">
        <v>10000</v>
      </c>
      <c r="F78" s="3">
        <v>25</v>
      </c>
      <c r="G78" s="3">
        <v>106000</v>
      </c>
      <c r="H78" s="3">
        <v>138000</v>
      </c>
      <c r="I78" s="3">
        <v>150</v>
      </c>
      <c r="J78" t="s">
        <v>370</v>
      </c>
    </row>
    <row r="79" spans="4:10" x14ac:dyDescent="0.25">
      <c r="D79" s="3" t="s">
        <v>5</v>
      </c>
      <c r="E79" s="212">
        <v>10000</v>
      </c>
      <c r="F79" s="3">
        <v>38.1</v>
      </c>
      <c r="G79" s="3">
        <v>106000</v>
      </c>
      <c r="H79" s="3">
        <v>143000</v>
      </c>
      <c r="I79" s="3">
        <v>150</v>
      </c>
      <c r="J79" t="s">
        <v>453</v>
      </c>
    </row>
    <row r="80" spans="4:10" x14ac:dyDescent="0.25">
      <c r="D80" s="3" t="s">
        <v>5</v>
      </c>
      <c r="E80" s="212">
        <v>10000</v>
      </c>
      <c r="F80" s="3">
        <v>50</v>
      </c>
      <c r="G80" s="3">
        <v>106000</v>
      </c>
      <c r="H80" s="3">
        <v>147000</v>
      </c>
      <c r="I80" s="3">
        <v>150</v>
      </c>
      <c r="J80" t="s">
        <v>371</v>
      </c>
    </row>
    <row r="81" spans="4:10" x14ac:dyDescent="0.25">
      <c r="D81" s="3" t="s">
        <v>5</v>
      </c>
      <c r="E81" s="212">
        <v>10000</v>
      </c>
      <c r="F81" s="3">
        <v>63.5</v>
      </c>
      <c r="G81" s="3">
        <v>106000</v>
      </c>
      <c r="H81" s="3">
        <v>150000</v>
      </c>
      <c r="I81" s="3">
        <v>150</v>
      </c>
      <c r="J81" t="s">
        <v>454</v>
      </c>
    </row>
    <row r="82" spans="4:10" x14ac:dyDescent="0.25">
      <c r="D82" s="3" t="s">
        <v>5</v>
      </c>
      <c r="E82" s="212">
        <v>10000</v>
      </c>
      <c r="F82" s="3">
        <v>80</v>
      </c>
      <c r="G82" s="3">
        <v>106000</v>
      </c>
      <c r="H82" s="3">
        <v>152000</v>
      </c>
      <c r="I82" s="3">
        <v>150</v>
      </c>
      <c r="J82" t="s">
        <v>372</v>
      </c>
    </row>
    <row r="83" spans="4:10" x14ac:dyDescent="0.25">
      <c r="D83" s="3" t="s">
        <v>5</v>
      </c>
      <c r="E83" s="212">
        <v>10000</v>
      </c>
      <c r="F83" s="3">
        <v>100</v>
      </c>
      <c r="G83" s="3">
        <v>106000</v>
      </c>
      <c r="H83" s="3">
        <v>156000</v>
      </c>
      <c r="I83" s="3">
        <v>150</v>
      </c>
      <c r="J83" t="s">
        <v>122</v>
      </c>
    </row>
    <row r="84" spans="4:10" x14ac:dyDescent="0.25">
      <c r="D84" s="3" t="s">
        <v>5</v>
      </c>
      <c r="E84" s="212">
        <v>10000</v>
      </c>
      <c r="F84" s="3">
        <v>125</v>
      </c>
      <c r="G84" s="3">
        <v>106000</v>
      </c>
      <c r="H84" s="3">
        <v>157000</v>
      </c>
      <c r="I84" s="3">
        <v>150</v>
      </c>
      <c r="J84" t="s">
        <v>123</v>
      </c>
    </row>
    <row r="85" spans="4:10" x14ac:dyDescent="0.25">
      <c r="D85" s="3" t="s">
        <v>5</v>
      </c>
      <c r="E85" s="212">
        <v>10000</v>
      </c>
      <c r="F85" s="3">
        <v>160</v>
      </c>
      <c r="G85" s="3">
        <v>106000</v>
      </c>
      <c r="H85" s="3">
        <v>158000</v>
      </c>
      <c r="I85" s="3">
        <v>150</v>
      </c>
      <c r="J85" t="s">
        <v>124</v>
      </c>
    </row>
    <row r="86" spans="4:10" x14ac:dyDescent="0.25">
      <c r="D86" s="3" t="s">
        <v>5</v>
      </c>
      <c r="E86" s="212">
        <v>10000</v>
      </c>
      <c r="F86" s="3">
        <v>200</v>
      </c>
      <c r="G86" s="3">
        <v>106000</v>
      </c>
      <c r="H86" s="3">
        <v>160000</v>
      </c>
      <c r="I86" s="3">
        <v>150</v>
      </c>
      <c r="J86" t="s">
        <v>125</v>
      </c>
    </row>
    <row r="87" spans="4:10" x14ac:dyDescent="0.25">
      <c r="D87" s="3" t="s">
        <v>5</v>
      </c>
      <c r="E87" s="212">
        <v>10000</v>
      </c>
      <c r="F87" s="3">
        <v>250</v>
      </c>
      <c r="G87" s="3">
        <v>106000</v>
      </c>
      <c r="H87" s="3">
        <v>160000</v>
      </c>
      <c r="I87" s="3">
        <v>150</v>
      </c>
      <c r="J87" t="s">
        <v>126</v>
      </c>
    </row>
    <row r="88" spans="4:10" x14ac:dyDescent="0.25">
      <c r="D88" s="3" t="s">
        <v>5</v>
      </c>
      <c r="E88" s="212">
        <v>10000</v>
      </c>
      <c r="F88" s="3">
        <v>300</v>
      </c>
      <c r="G88" s="3">
        <v>106000</v>
      </c>
      <c r="H88" s="3">
        <v>160000</v>
      </c>
      <c r="I88" s="3">
        <v>150</v>
      </c>
      <c r="J88" t="s">
        <v>127</v>
      </c>
    </row>
    <row r="89" spans="4:10" x14ac:dyDescent="0.25">
      <c r="D89" s="3" t="s">
        <v>6</v>
      </c>
      <c r="E89" s="212">
        <v>170</v>
      </c>
      <c r="F89" s="3">
        <v>7</v>
      </c>
      <c r="G89" s="3">
        <v>1700</v>
      </c>
      <c r="H89" s="3">
        <v>2800</v>
      </c>
      <c r="I89" s="3">
        <v>180</v>
      </c>
      <c r="J89" t="s">
        <v>455</v>
      </c>
    </row>
    <row r="90" spans="4:10" x14ac:dyDescent="0.25">
      <c r="D90" s="3" t="s">
        <v>6</v>
      </c>
      <c r="E90" s="212">
        <v>170</v>
      </c>
      <c r="F90" s="3">
        <v>10</v>
      </c>
      <c r="G90" s="3">
        <v>1700</v>
      </c>
      <c r="H90" s="3">
        <v>2800</v>
      </c>
      <c r="I90" s="3">
        <v>180</v>
      </c>
      <c r="J90" t="s">
        <v>456</v>
      </c>
    </row>
    <row r="91" spans="4:10" x14ac:dyDescent="0.25">
      <c r="D91" s="3" t="s">
        <v>6</v>
      </c>
      <c r="E91" s="212">
        <v>170</v>
      </c>
      <c r="F91" s="3">
        <v>15</v>
      </c>
      <c r="G91" s="3">
        <v>1700</v>
      </c>
      <c r="H91" s="3">
        <v>2800</v>
      </c>
      <c r="I91" s="3">
        <v>180</v>
      </c>
      <c r="J91" t="s">
        <v>457</v>
      </c>
    </row>
    <row r="92" spans="4:10" x14ac:dyDescent="0.25">
      <c r="D92" s="3" t="s">
        <v>6</v>
      </c>
      <c r="E92" s="212">
        <v>170</v>
      </c>
      <c r="F92" s="3">
        <v>19</v>
      </c>
      <c r="G92" s="3">
        <v>1700</v>
      </c>
      <c r="H92" s="3">
        <v>2800</v>
      </c>
      <c r="I92" s="3">
        <v>180</v>
      </c>
      <c r="J92" t="s">
        <v>458</v>
      </c>
    </row>
    <row r="93" spans="4:10" x14ac:dyDescent="0.25">
      <c r="D93" s="3" t="s">
        <v>6</v>
      </c>
      <c r="E93" s="212">
        <v>170</v>
      </c>
      <c r="F93" s="3">
        <v>25</v>
      </c>
      <c r="G93" s="3">
        <v>1700</v>
      </c>
      <c r="H93" s="3">
        <v>2800</v>
      </c>
      <c r="I93" s="3">
        <v>180</v>
      </c>
      <c r="J93" t="s">
        <v>459</v>
      </c>
    </row>
    <row r="94" spans="4:10" x14ac:dyDescent="0.25">
      <c r="D94" s="3" t="s">
        <v>6</v>
      </c>
      <c r="E94" s="212">
        <v>170</v>
      </c>
      <c r="F94" s="3">
        <v>38</v>
      </c>
      <c r="G94" s="3">
        <v>1700</v>
      </c>
      <c r="H94" s="3">
        <v>2800</v>
      </c>
      <c r="I94" s="3">
        <v>180</v>
      </c>
      <c r="J94" t="s">
        <v>460</v>
      </c>
    </row>
    <row r="95" spans="4:10" x14ac:dyDescent="0.25">
      <c r="D95" s="3" t="s">
        <v>6</v>
      </c>
      <c r="E95" s="212">
        <v>170</v>
      </c>
      <c r="F95" s="3">
        <v>50</v>
      </c>
      <c r="G95" s="3">
        <v>1700</v>
      </c>
      <c r="H95" s="3">
        <v>2800</v>
      </c>
      <c r="I95" s="3">
        <v>180</v>
      </c>
      <c r="J95" t="s">
        <v>461</v>
      </c>
    </row>
    <row r="96" spans="4:10" x14ac:dyDescent="0.25">
      <c r="D96" s="3" t="s">
        <v>6</v>
      </c>
      <c r="E96" s="212">
        <v>170</v>
      </c>
      <c r="F96" s="3">
        <v>63</v>
      </c>
      <c r="G96" s="3">
        <v>1700</v>
      </c>
      <c r="H96" s="3">
        <v>2800</v>
      </c>
      <c r="I96" s="3">
        <v>180</v>
      </c>
      <c r="J96" t="s">
        <v>462</v>
      </c>
    </row>
    <row r="97" spans="4:10" x14ac:dyDescent="0.25">
      <c r="D97" s="3" t="s">
        <v>6</v>
      </c>
      <c r="E97" s="212">
        <v>170</v>
      </c>
      <c r="F97" s="3">
        <v>75</v>
      </c>
      <c r="G97" s="3">
        <v>1700</v>
      </c>
      <c r="H97" s="3">
        <v>2800</v>
      </c>
      <c r="I97" s="3">
        <v>180</v>
      </c>
      <c r="J97" t="s">
        <v>463</v>
      </c>
    </row>
    <row r="98" spans="4:10" x14ac:dyDescent="0.25">
      <c r="D98" s="3" t="s">
        <v>6</v>
      </c>
      <c r="E98" s="212">
        <v>170</v>
      </c>
      <c r="F98" s="3">
        <v>80</v>
      </c>
      <c r="G98" s="3">
        <v>1700</v>
      </c>
      <c r="H98" s="3">
        <v>2800</v>
      </c>
      <c r="I98" s="3">
        <v>180</v>
      </c>
      <c r="J98" t="s">
        <v>464</v>
      </c>
    </row>
    <row r="99" spans="4:10" x14ac:dyDescent="0.25">
      <c r="D99" s="3" t="s">
        <v>6</v>
      </c>
      <c r="E99" s="212">
        <v>170</v>
      </c>
      <c r="F99" s="3">
        <v>100</v>
      </c>
      <c r="G99" s="3">
        <v>1700</v>
      </c>
      <c r="H99" s="3">
        <v>2800</v>
      </c>
      <c r="I99" s="3">
        <v>180</v>
      </c>
      <c r="J99" t="s">
        <v>465</v>
      </c>
    </row>
    <row r="100" spans="4:10" x14ac:dyDescent="0.25">
      <c r="D100" s="3" t="s">
        <v>6</v>
      </c>
      <c r="E100" s="212">
        <v>170</v>
      </c>
      <c r="F100" s="3">
        <v>125</v>
      </c>
      <c r="G100" s="3">
        <v>1700</v>
      </c>
      <c r="H100" s="3">
        <v>2800</v>
      </c>
      <c r="I100" s="3">
        <v>180</v>
      </c>
      <c r="J100" t="s">
        <v>466</v>
      </c>
    </row>
    <row r="101" spans="4:10" x14ac:dyDescent="0.25">
      <c r="D101" s="3" t="s">
        <v>6</v>
      </c>
      <c r="E101" s="212">
        <v>320</v>
      </c>
      <c r="F101" s="3">
        <v>7</v>
      </c>
      <c r="G101" s="3">
        <v>3200</v>
      </c>
      <c r="H101" s="3">
        <v>4800</v>
      </c>
      <c r="I101" s="3">
        <v>180</v>
      </c>
      <c r="J101" t="s">
        <v>467</v>
      </c>
    </row>
    <row r="102" spans="4:10" x14ac:dyDescent="0.25">
      <c r="D102" s="3" t="s">
        <v>6</v>
      </c>
      <c r="E102" s="212">
        <v>320</v>
      </c>
      <c r="F102" s="3">
        <v>10</v>
      </c>
      <c r="G102" s="3">
        <v>3200</v>
      </c>
      <c r="H102" s="3">
        <v>4900</v>
      </c>
      <c r="I102" s="3">
        <v>180</v>
      </c>
      <c r="J102" t="s">
        <v>468</v>
      </c>
    </row>
    <row r="103" spans="4:10" x14ac:dyDescent="0.25">
      <c r="D103" s="3" t="s">
        <v>6</v>
      </c>
      <c r="E103" s="212">
        <v>320</v>
      </c>
      <c r="F103" s="3">
        <v>15</v>
      </c>
      <c r="G103" s="3">
        <v>3200</v>
      </c>
      <c r="H103" s="3">
        <v>5100</v>
      </c>
      <c r="I103" s="3">
        <v>180</v>
      </c>
      <c r="J103" t="s">
        <v>469</v>
      </c>
    </row>
    <row r="104" spans="4:10" x14ac:dyDescent="0.25">
      <c r="D104" s="3" t="s">
        <v>6</v>
      </c>
      <c r="E104" s="212">
        <v>320</v>
      </c>
      <c r="F104" s="3">
        <v>19</v>
      </c>
      <c r="G104" s="3">
        <v>3200</v>
      </c>
      <c r="H104" s="3">
        <v>5100</v>
      </c>
      <c r="I104" s="3">
        <v>180</v>
      </c>
      <c r="J104" t="s">
        <v>470</v>
      </c>
    </row>
    <row r="105" spans="4:10" x14ac:dyDescent="0.25">
      <c r="D105" s="3" t="s">
        <v>6</v>
      </c>
      <c r="E105" s="212">
        <v>320</v>
      </c>
      <c r="F105" s="3">
        <v>25</v>
      </c>
      <c r="G105" s="3">
        <v>3200</v>
      </c>
      <c r="H105" s="3">
        <v>5200</v>
      </c>
      <c r="I105" s="3">
        <v>180</v>
      </c>
      <c r="J105" t="s">
        <v>471</v>
      </c>
    </row>
    <row r="106" spans="4:10" x14ac:dyDescent="0.25">
      <c r="D106" s="3" t="s">
        <v>6</v>
      </c>
      <c r="E106" s="212">
        <v>320</v>
      </c>
      <c r="F106" s="3">
        <v>38</v>
      </c>
      <c r="G106" s="3">
        <v>3200</v>
      </c>
      <c r="H106" s="3">
        <v>5300</v>
      </c>
      <c r="I106" s="3">
        <v>180</v>
      </c>
      <c r="J106" t="s">
        <v>472</v>
      </c>
    </row>
    <row r="107" spans="4:10" x14ac:dyDescent="0.25">
      <c r="D107" s="3" t="s">
        <v>6</v>
      </c>
      <c r="E107" s="212">
        <v>320</v>
      </c>
      <c r="F107" s="3">
        <v>50</v>
      </c>
      <c r="G107" s="3">
        <v>3200</v>
      </c>
      <c r="H107" s="3">
        <v>5300</v>
      </c>
      <c r="I107" s="3">
        <v>180</v>
      </c>
      <c r="J107" t="s">
        <v>473</v>
      </c>
    </row>
    <row r="108" spans="4:10" x14ac:dyDescent="0.25">
      <c r="D108" s="3" t="s">
        <v>6</v>
      </c>
      <c r="E108" s="212">
        <v>320</v>
      </c>
      <c r="F108" s="3">
        <v>63</v>
      </c>
      <c r="G108" s="3">
        <v>3200</v>
      </c>
      <c r="H108" s="3">
        <v>5300</v>
      </c>
      <c r="I108" s="3">
        <v>180</v>
      </c>
      <c r="J108" t="s">
        <v>474</v>
      </c>
    </row>
    <row r="109" spans="4:10" x14ac:dyDescent="0.25">
      <c r="D109" s="3" t="s">
        <v>6</v>
      </c>
      <c r="E109" s="212">
        <v>320</v>
      </c>
      <c r="F109" s="3">
        <v>75</v>
      </c>
      <c r="G109" s="3">
        <v>3200</v>
      </c>
      <c r="H109" s="3">
        <v>5300</v>
      </c>
      <c r="I109" s="3">
        <v>180</v>
      </c>
      <c r="J109" t="s">
        <v>475</v>
      </c>
    </row>
    <row r="110" spans="4:10" x14ac:dyDescent="0.25">
      <c r="D110" s="3" t="s">
        <v>6</v>
      </c>
      <c r="E110" s="212">
        <v>320</v>
      </c>
      <c r="F110" s="3">
        <v>80</v>
      </c>
      <c r="G110" s="3">
        <v>3200</v>
      </c>
      <c r="H110" s="3">
        <v>5300</v>
      </c>
      <c r="I110" s="3">
        <v>180</v>
      </c>
      <c r="J110" t="s">
        <v>476</v>
      </c>
    </row>
    <row r="111" spans="4:10" x14ac:dyDescent="0.25">
      <c r="D111" s="3" t="s">
        <v>6</v>
      </c>
      <c r="E111" s="212">
        <v>320</v>
      </c>
      <c r="F111" s="3">
        <v>100</v>
      </c>
      <c r="G111" s="3">
        <v>3200</v>
      </c>
      <c r="H111" s="3">
        <v>5300</v>
      </c>
      <c r="I111" s="3">
        <v>180</v>
      </c>
      <c r="J111" t="s">
        <v>477</v>
      </c>
    </row>
    <row r="112" spans="4:10" x14ac:dyDescent="0.25">
      <c r="D112" s="3" t="s">
        <v>6</v>
      </c>
      <c r="E112" s="212">
        <v>320</v>
      </c>
      <c r="F112" s="3">
        <v>125</v>
      </c>
      <c r="G112" s="3">
        <v>3200</v>
      </c>
      <c r="H112" s="3">
        <v>5300</v>
      </c>
      <c r="I112" s="3">
        <v>180</v>
      </c>
      <c r="J112" t="s">
        <v>478</v>
      </c>
    </row>
    <row r="113" spans="4:10" x14ac:dyDescent="0.25">
      <c r="D113" s="3" t="s">
        <v>6</v>
      </c>
      <c r="E113" s="212">
        <v>350</v>
      </c>
      <c r="F113" s="3">
        <v>10</v>
      </c>
      <c r="G113" s="3">
        <v>3600</v>
      </c>
      <c r="H113" s="3">
        <v>5900</v>
      </c>
      <c r="I113" s="3">
        <v>180</v>
      </c>
      <c r="J113" t="s">
        <v>374</v>
      </c>
    </row>
    <row r="114" spans="4:10" x14ac:dyDescent="0.25">
      <c r="D114" s="3" t="s">
        <v>6</v>
      </c>
      <c r="E114" s="212">
        <v>350</v>
      </c>
      <c r="F114" s="3">
        <v>13</v>
      </c>
      <c r="G114" s="3">
        <v>3600</v>
      </c>
      <c r="H114" s="3">
        <v>5200</v>
      </c>
      <c r="I114" s="3">
        <v>180</v>
      </c>
      <c r="J114" t="s">
        <v>479</v>
      </c>
    </row>
    <row r="115" spans="4:10" x14ac:dyDescent="0.25">
      <c r="D115" s="3" t="s">
        <v>6</v>
      </c>
      <c r="E115" s="212">
        <v>350</v>
      </c>
      <c r="F115" s="3">
        <v>16</v>
      </c>
      <c r="G115" s="3">
        <v>3600</v>
      </c>
      <c r="H115" s="3">
        <v>5300</v>
      </c>
      <c r="I115" s="3">
        <v>180</v>
      </c>
      <c r="J115" t="s">
        <v>375</v>
      </c>
    </row>
    <row r="116" spans="4:10" x14ac:dyDescent="0.25">
      <c r="D116" s="3" t="s">
        <v>6</v>
      </c>
      <c r="E116" s="212">
        <v>350</v>
      </c>
      <c r="F116" s="3">
        <v>19</v>
      </c>
      <c r="G116" s="3">
        <v>3600</v>
      </c>
      <c r="H116" s="3">
        <v>5600</v>
      </c>
      <c r="I116" s="3">
        <v>180</v>
      </c>
      <c r="J116" t="s">
        <v>480</v>
      </c>
    </row>
    <row r="117" spans="4:10" x14ac:dyDescent="0.25">
      <c r="D117" s="3" t="s">
        <v>6</v>
      </c>
      <c r="E117" s="212">
        <v>350</v>
      </c>
      <c r="F117" s="3">
        <v>25</v>
      </c>
      <c r="G117" s="3">
        <v>3600</v>
      </c>
      <c r="H117" s="3">
        <v>5500</v>
      </c>
      <c r="I117" s="3">
        <v>180</v>
      </c>
      <c r="J117" t="s">
        <v>320</v>
      </c>
    </row>
    <row r="118" spans="4:10" x14ac:dyDescent="0.25">
      <c r="D118" s="3" t="s">
        <v>6</v>
      </c>
      <c r="E118" s="212">
        <v>350</v>
      </c>
      <c r="F118" s="3">
        <v>32</v>
      </c>
      <c r="G118" s="3">
        <v>3600</v>
      </c>
      <c r="H118" s="3">
        <v>5500</v>
      </c>
      <c r="I118" s="3">
        <v>180</v>
      </c>
      <c r="J118" t="s">
        <v>481</v>
      </c>
    </row>
    <row r="119" spans="4:10" x14ac:dyDescent="0.25">
      <c r="D119" s="3" t="s">
        <v>6</v>
      </c>
      <c r="E119" s="212">
        <v>350</v>
      </c>
      <c r="F119" s="3">
        <v>38</v>
      </c>
      <c r="G119" s="3">
        <v>3600</v>
      </c>
      <c r="H119" s="3">
        <v>5500</v>
      </c>
      <c r="I119" s="3">
        <v>180</v>
      </c>
      <c r="J119" t="s">
        <v>321</v>
      </c>
    </row>
    <row r="120" spans="4:10" x14ac:dyDescent="0.25">
      <c r="D120" s="3" t="s">
        <v>6</v>
      </c>
      <c r="E120" s="212">
        <v>350</v>
      </c>
      <c r="F120" s="3">
        <v>50</v>
      </c>
      <c r="G120" s="3">
        <v>3600</v>
      </c>
      <c r="H120" s="3">
        <v>5600</v>
      </c>
      <c r="I120" s="3">
        <v>180</v>
      </c>
      <c r="J120" t="s">
        <v>322</v>
      </c>
    </row>
    <row r="121" spans="4:10" x14ac:dyDescent="0.25">
      <c r="D121" s="3" t="s">
        <v>6</v>
      </c>
      <c r="E121" s="212">
        <v>350</v>
      </c>
      <c r="F121" s="3">
        <v>63</v>
      </c>
      <c r="G121" s="3">
        <v>3600</v>
      </c>
      <c r="H121" s="3">
        <v>5500</v>
      </c>
      <c r="I121" s="3">
        <v>180</v>
      </c>
      <c r="J121" t="s">
        <v>323</v>
      </c>
    </row>
    <row r="122" spans="4:10" x14ac:dyDescent="0.25">
      <c r="D122" s="3" t="s">
        <v>6</v>
      </c>
      <c r="E122" s="212">
        <v>350</v>
      </c>
      <c r="F122" s="3">
        <v>75</v>
      </c>
      <c r="G122" s="3">
        <v>3600</v>
      </c>
      <c r="H122" s="3">
        <v>5500</v>
      </c>
      <c r="I122" s="3">
        <v>180</v>
      </c>
      <c r="J122" t="s">
        <v>482</v>
      </c>
    </row>
    <row r="123" spans="4:10" x14ac:dyDescent="0.25">
      <c r="D123" s="3" t="s">
        <v>6</v>
      </c>
      <c r="E123" s="212">
        <v>350</v>
      </c>
      <c r="F123" s="3">
        <v>80</v>
      </c>
      <c r="G123" s="3">
        <v>3600</v>
      </c>
      <c r="H123" s="3">
        <v>5500</v>
      </c>
      <c r="I123" s="3">
        <v>180</v>
      </c>
      <c r="J123" t="s">
        <v>324</v>
      </c>
    </row>
    <row r="124" spans="4:10" x14ac:dyDescent="0.25">
      <c r="D124" s="3" t="s">
        <v>6</v>
      </c>
      <c r="E124" s="212">
        <v>350</v>
      </c>
      <c r="F124" s="3">
        <v>100</v>
      </c>
      <c r="G124" s="3">
        <v>3600</v>
      </c>
      <c r="H124" s="3">
        <v>5500</v>
      </c>
      <c r="I124" s="3">
        <v>180</v>
      </c>
      <c r="J124" t="s">
        <v>74</v>
      </c>
    </row>
    <row r="125" spans="4:10" x14ac:dyDescent="0.25">
      <c r="D125" s="3" t="s">
        <v>6</v>
      </c>
      <c r="E125" s="212">
        <v>350</v>
      </c>
      <c r="F125" s="3">
        <v>125</v>
      </c>
      <c r="G125" s="3">
        <v>3600</v>
      </c>
      <c r="H125" s="3">
        <v>5500</v>
      </c>
      <c r="I125" s="3">
        <v>180</v>
      </c>
      <c r="J125" t="s">
        <v>128</v>
      </c>
    </row>
    <row r="126" spans="4:10" x14ac:dyDescent="0.25">
      <c r="D126" s="3" t="s">
        <v>6</v>
      </c>
      <c r="E126" s="212">
        <v>500</v>
      </c>
      <c r="F126" s="3">
        <v>10</v>
      </c>
      <c r="G126" s="3">
        <v>4700</v>
      </c>
      <c r="H126" s="3">
        <v>7200</v>
      </c>
      <c r="I126" s="3">
        <v>150</v>
      </c>
      <c r="J126" t="s">
        <v>483</v>
      </c>
    </row>
    <row r="127" spans="4:10" x14ac:dyDescent="0.25">
      <c r="D127" s="3" t="s">
        <v>6</v>
      </c>
      <c r="E127" s="212">
        <v>500</v>
      </c>
      <c r="F127" s="3">
        <v>13</v>
      </c>
      <c r="G127" s="3">
        <v>4700</v>
      </c>
      <c r="H127" s="3">
        <v>7100</v>
      </c>
      <c r="I127" s="3">
        <v>150</v>
      </c>
      <c r="J127" t="s">
        <v>484</v>
      </c>
    </row>
    <row r="128" spans="4:10" x14ac:dyDescent="0.25">
      <c r="D128" s="3" t="s">
        <v>6</v>
      </c>
      <c r="E128" s="212">
        <v>500</v>
      </c>
      <c r="F128" s="3">
        <v>16</v>
      </c>
      <c r="G128" s="3">
        <v>4700</v>
      </c>
      <c r="H128" s="3">
        <v>7200</v>
      </c>
      <c r="I128" s="3">
        <v>150</v>
      </c>
      <c r="J128" t="s">
        <v>376</v>
      </c>
    </row>
    <row r="129" spans="4:10" x14ac:dyDescent="0.25">
      <c r="D129" s="3" t="s">
        <v>6</v>
      </c>
      <c r="E129" s="212">
        <v>500</v>
      </c>
      <c r="F129" s="3">
        <v>19</v>
      </c>
      <c r="G129" s="3">
        <v>4700</v>
      </c>
      <c r="H129" s="3">
        <v>7400</v>
      </c>
      <c r="I129" s="3">
        <v>150</v>
      </c>
      <c r="J129" t="s">
        <v>485</v>
      </c>
    </row>
    <row r="130" spans="4:10" x14ac:dyDescent="0.25">
      <c r="D130" s="3" t="s">
        <v>6</v>
      </c>
      <c r="E130" s="212">
        <v>500</v>
      </c>
      <c r="F130" s="3">
        <v>25</v>
      </c>
      <c r="G130" s="3">
        <v>4700</v>
      </c>
      <c r="H130" s="3">
        <v>7300</v>
      </c>
      <c r="I130" s="3">
        <v>150</v>
      </c>
      <c r="J130" t="s">
        <v>325</v>
      </c>
    </row>
    <row r="131" spans="4:10" x14ac:dyDescent="0.25">
      <c r="D131" s="3" t="s">
        <v>6</v>
      </c>
      <c r="E131" s="212">
        <v>500</v>
      </c>
      <c r="F131" s="3">
        <v>32</v>
      </c>
      <c r="G131" s="3">
        <v>4700</v>
      </c>
      <c r="H131" s="3">
        <v>7200</v>
      </c>
      <c r="I131" s="3">
        <v>150</v>
      </c>
      <c r="J131" t="s">
        <v>486</v>
      </c>
    </row>
    <row r="132" spans="4:10" x14ac:dyDescent="0.25">
      <c r="D132" s="3" t="s">
        <v>6</v>
      </c>
      <c r="E132" s="212">
        <v>500</v>
      </c>
      <c r="F132" s="3">
        <v>38</v>
      </c>
      <c r="G132" s="3">
        <v>4700</v>
      </c>
      <c r="H132" s="3">
        <v>7200</v>
      </c>
      <c r="I132" s="3">
        <v>150</v>
      </c>
      <c r="J132" t="s">
        <v>326</v>
      </c>
    </row>
    <row r="133" spans="4:10" x14ac:dyDescent="0.25">
      <c r="D133" s="3" t="s">
        <v>6</v>
      </c>
      <c r="E133" s="212">
        <v>500</v>
      </c>
      <c r="F133" s="3">
        <v>50</v>
      </c>
      <c r="G133" s="3">
        <v>4700</v>
      </c>
      <c r="H133" s="3">
        <v>7200</v>
      </c>
      <c r="I133" s="3">
        <v>150</v>
      </c>
      <c r="J133" t="s">
        <v>327</v>
      </c>
    </row>
    <row r="134" spans="4:10" x14ac:dyDescent="0.25">
      <c r="D134" s="3" t="s">
        <v>6</v>
      </c>
      <c r="E134" s="212">
        <v>500</v>
      </c>
      <c r="F134" s="3">
        <v>63</v>
      </c>
      <c r="G134" s="3">
        <v>4700</v>
      </c>
      <c r="H134" s="3">
        <v>7200</v>
      </c>
      <c r="I134" s="3">
        <v>150</v>
      </c>
      <c r="J134" t="s">
        <v>328</v>
      </c>
    </row>
    <row r="135" spans="4:10" x14ac:dyDescent="0.25">
      <c r="D135" s="3" t="s">
        <v>6</v>
      </c>
      <c r="E135" s="212">
        <v>500</v>
      </c>
      <c r="F135" s="3">
        <v>75</v>
      </c>
      <c r="G135" s="3">
        <v>4700</v>
      </c>
      <c r="H135" s="3">
        <v>7100</v>
      </c>
      <c r="I135" s="3">
        <v>150</v>
      </c>
      <c r="J135" t="s">
        <v>487</v>
      </c>
    </row>
    <row r="136" spans="4:10" x14ac:dyDescent="0.25">
      <c r="D136" s="3" t="s">
        <v>6</v>
      </c>
      <c r="E136" s="212">
        <v>500</v>
      </c>
      <c r="F136" s="3">
        <v>80</v>
      </c>
      <c r="G136" s="3">
        <v>4700</v>
      </c>
      <c r="H136" s="3">
        <v>7100</v>
      </c>
      <c r="I136" s="3">
        <v>150</v>
      </c>
      <c r="J136" t="s">
        <v>329</v>
      </c>
    </row>
    <row r="137" spans="4:10" x14ac:dyDescent="0.25">
      <c r="D137" s="3" t="s">
        <v>6</v>
      </c>
      <c r="E137" s="212">
        <v>500</v>
      </c>
      <c r="F137" s="3">
        <v>100</v>
      </c>
      <c r="G137" s="3">
        <v>4700</v>
      </c>
      <c r="H137" s="3">
        <v>7100</v>
      </c>
      <c r="I137" s="3">
        <v>150</v>
      </c>
      <c r="J137" t="s">
        <v>75</v>
      </c>
    </row>
    <row r="138" spans="4:10" x14ac:dyDescent="0.25">
      <c r="D138" s="3" t="s">
        <v>6</v>
      </c>
      <c r="E138" s="212">
        <v>500</v>
      </c>
      <c r="F138" s="3">
        <v>125</v>
      </c>
      <c r="G138" s="3">
        <v>4700</v>
      </c>
      <c r="H138" s="3">
        <v>7100</v>
      </c>
      <c r="I138" s="3">
        <v>150</v>
      </c>
      <c r="J138" t="s">
        <v>130</v>
      </c>
    </row>
    <row r="139" spans="4:10" x14ac:dyDescent="0.25">
      <c r="D139" s="3" t="s">
        <v>6</v>
      </c>
      <c r="E139" s="212">
        <v>750</v>
      </c>
      <c r="F139" s="3">
        <v>10</v>
      </c>
      <c r="G139" s="3">
        <v>7400</v>
      </c>
      <c r="H139" s="3">
        <v>12100</v>
      </c>
      <c r="I139" s="3">
        <v>150</v>
      </c>
      <c r="J139" t="s">
        <v>488</v>
      </c>
    </row>
    <row r="140" spans="4:10" x14ac:dyDescent="0.25">
      <c r="D140" s="3" t="s">
        <v>6</v>
      </c>
      <c r="E140" s="212">
        <v>750</v>
      </c>
      <c r="F140" s="3">
        <v>13</v>
      </c>
      <c r="G140" s="3">
        <v>7400</v>
      </c>
      <c r="H140" s="3">
        <v>12100</v>
      </c>
      <c r="I140" s="3">
        <v>150</v>
      </c>
      <c r="J140" t="s">
        <v>489</v>
      </c>
    </row>
    <row r="141" spans="4:10" x14ac:dyDescent="0.25">
      <c r="D141" s="3" t="s">
        <v>6</v>
      </c>
      <c r="E141" s="212">
        <v>750</v>
      </c>
      <c r="F141" s="3">
        <v>16</v>
      </c>
      <c r="G141" s="3">
        <v>7400</v>
      </c>
      <c r="H141" s="3">
        <v>12100</v>
      </c>
      <c r="I141" s="3">
        <v>150</v>
      </c>
      <c r="J141" t="s">
        <v>377</v>
      </c>
    </row>
    <row r="142" spans="4:10" x14ac:dyDescent="0.25">
      <c r="D142" s="3" t="s">
        <v>6</v>
      </c>
      <c r="E142" s="212">
        <v>750</v>
      </c>
      <c r="F142" s="3">
        <v>19</v>
      </c>
      <c r="G142" s="3">
        <v>7400</v>
      </c>
      <c r="H142" s="3">
        <v>11700</v>
      </c>
      <c r="I142" s="3">
        <v>150</v>
      </c>
      <c r="J142" t="s">
        <v>490</v>
      </c>
    </row>
    <row r="143" spans="4:10" x14ac:dyDescent="0.25">
      <c r="D143" s="3" t="s">
        <v>6</v>
      </c>
      <c r="E143" s="212">
        <v>750</v>
      </c>
      <c r="F143" s="3">
        <v>25</v>
      </c>
      <c r="G143" s="3">
        <v>7400</v>
      </c>
      <c r="H143" s="3">
        <v>11800</v>
      </c>
      <c r="I143" s="3">
        <v>150</v>
      </c>
      <c r="J143" t="s">
        <v>330</v>
      </c>
    </row>
    <row r="144" spans="4:10" x14ac:dyDescent="0.25">
      <c r="D144" s="3" t="s">
        <v>6</v>
      </c>
      <c r="E144" s="212">
        <v>750</v>
      </c>
      <c r="F144" s="3">
        <v>32</v>
      </c>
      <c r="G144" s="3">
        <v>7400</v>
      </c>
      <c r="H144" s="3">
        <v>11800</v>
      </c>
      <c r="I144" s="3">
        <v>150</v>
      </c>
      <c r="J144" t="s">
        <v>491</v>
      </c>
    </row>
    <row r="145" spans="4:10" x14ac:dyDescent="0.25">
      <c r="D145" s="3" t="s">
        <v>6</v>
      </c>
      <c r="E145" s="212">
        <v>750</v>
      </c>
      <c r="F145" s="3">
        <v>38</v>
      </c>
      <c r="G145" s="3">
        <v>7400</v>
      </c>
      <c r="H145" s="3">
        <v>11800</v>
      </c>
      <c r="I145" s="3">
        <v>150</v>
      </c>
      <c r="J145" t="s">
        <v>331</v>
      </c>
    </row>
    <row r="146" spans="4:10" x14ac:dyDescent="0.25">
      <c r="D146" s="3" t="s">
        <v>6</v>
      </c>
      <c r="E146" s="212">
        <v>750</v>
      </c>
      <c r="F146" s="3">
        <v>50</v>
      </c>
      <c r="G146" s="3">
        <v>7400</v>
      </c>
      <c r="H146" s="3">
        <v>11800</v>
      </c>
      <c r="I146" s="3">
        <v>150</v>
      </c>
      <c r="J146" t="s">
        <v>332</v>
      </c>
    </row>
    <row r="147" spans="4:10" x14ac:dyDescent="0.25">
      <c r="D147" s="3" t="s">
        <v>6</v>
      </c>
      <c r="E147" s="212">
        <v>750</v>
      </c>
      <c r="F147" s="3">
        <v>63</v>
      </c>
      <c r="G147" s="3">
        <v>7400</v>
      </c>
      <c r="H147" s="3">
        <v>11800</v>
      </c>
      <c r="I147" s="3">
        <v>150</v>
      </c>
      <c r="J147" t="s">
        <v>333</v>
      </c>
    </row>
    <row r="148" spans="4:10" x14ac:dyDescent="0.25">
      <c r="D148" s="3" t="s">
        <v>6</v>
      </c>
      <c r="E148" s="212">
        <v>750</v>
      </c>
      <c r="F148" s="3">
        <v>75</v>
      </c>
      <c r="G148" s="3">
        <v>7400</v>
      </c>
      <c r="H148" s="3">
        <v>11900</v>
      </c>
      <c r="I148" s="3">
        <v>150</v>
      </c>
      <c r="J148" t="s">
        <v>492</v>
      </c>
    </row>
    <row r="149" spans="4:10" x14ac:dyDescent="0.25">
      <c r="D149" s="3" t="s">
        <v>6</v>
      </c>
      <c r="E149" s="212">
        <v>750</v>
      </c>
      <c r="F149" s="3">
        <v>80</v>
      </c>
      <c r="G149" s="3">
        <v>7400</v>
      </c>
      <c r="H149" s="3">
        <v>11900</v>
      </c>
      <c r="I149" s="3">
        <v>150</v>
      </c>
      <c r="J149" t="s">
        <v>334</v>
      </c>
    </row>
    <row r="150" spans="4:10" x14ac:dyDescent="0.25">
      <c r="D150" s="3" t="s">
        <v>6</v>
      </c>
      <c r="E150" s="212">
        <v>750</v>
      </c>
      <c r="F150" s="3">
        <v>100</v>
      </c>
      <c r="G150" s="3">
        <v>7400</v>
      </c>
      <c r="H150" s="3">
        <v>11900</v>
      </c>
      <c r="I150" s="3">
        <v>150</v>
      </c>
      <c r="J150" t="s">
        <v>76</v>
      </c>
    </row>
    <row r="151" spans="4:10" x14ac:dyDescent="0.25">
      <c r="D151" s="3" t="s">
        <v>6</v>
      </c>
      <c r="E151" s="212">
        <v>750</v>
      </c>
      <c r="F151" s="3">
        <v>125</v>
      </c>
      <c r="G151" s="3">
        <v>7400</v>
      </c>
      <c r="H151" s="3">
        <v>11900</v>
      </c>
      <c r="I151" s="3">
        <v>150</v>
      </c>
      <c r="J151" t="s">
        <v>77</v>
      </c>
    </row>
    <row r="152" spans="4:10" x14ac:dyDescent="0.25">
      <c r="D152" s="3" t="s">
        <v>6</v>
      </c>
      <c r="E152" s="212">
        <v>1000</v>
      </c>
      <c r="F152" s="3">
        <v>13</v>
      </c>
      <c r="G152" s="3">
        <v>9200</v>
      </c>
      <c r="H152" s="3">
        <v>13800</v>
      </c>
      <c r="I152" s="3">
        <v>150</v>
      </c>
      <c r="J152" t="s">
        <v>493</v>
      </c>
    </row>
    <row r="153" spans="4:10" x14ac:dyDescent="0.25">
      <c r="D153" s="3" t="s">
        <v>6</v>
      </c>
      <c r="E153" s="212">
        <v>1000</v>
      </c>
      <c r="F153" s="3">
        <v>16</v>
      </c>
      <c r="G153" s="3">
        <v>9200</v>
      </c>
      <c r="H153" s="3">
        <v>13800</v>
      </c>
      <c r="I153" s="3">
        <v>150</v>
      </c>
      <c r="J153" t="s">
        <v>378</v>
      </c>
    </row>
    <row r="154" spans="4:10" x14ac:dyDescent="0.25">
      <c r="D154" s="3" t="s">
        <v>6</v>
      </c>
      <c r="E154" s="212">
        <v>1000</v>
      </c>
      <c r="F154" s="3">
        <v>19</v>
      </c>
      <c r="G154" s="3">
        <v>9200</v>
      </c>
      <c r="H154" s="3">
        <v>14000</v>
      </c>
      <c r="I154" s="3">
        <v>150</v>
      </c>
      <c r="J154" t="s">
        <v>494</v>
      </c>
    </row>
    <row r="155" spans="4:10" x14ac:dyDescent="0.25">
      <c r="D155" s="3" t="s">
        <v>6</v>
      </c>
      <c r="E155" s="212">
        <v>1000</v>
      </c>
      <c r="F155" s="3">
        <v>25</v>
      </c>
      <c r="G155" s="3">
        <v>9200</v>
      </c>
      <c r="H155" s="3">
        <v>14200</v>
      </c>
      <c r="I155" s="3">
        <v>150</v>
      </c>
      <c r="J155" t="s">
        <v>335</v>
      </c>
    </row>
    <row r="156" spans="4:10" x14ac:dyDescent="0.25">
      <c r="D156" s="3" t="s">
        <v>6</v>
      </c>
      <c r="E156" s="212">
        <v>1000</v>
      </c>
      <c r="F156" s="3">
        <v>32</v>
      </c>
      <c r="G156" s="3">
        <v>9200</v>
      </c>
      <c r="H156" s="3">
        <v>14300</v>
      </c>
      <c r="I156" s="3">
        <v>150</v>
      </c>
      <c r="J156" t="s">
        <v>495</v>
      </c>
    </row>
    <row r="157" spans="4:10" x14ac:dyDescent="0.25">
      <c r="D157" s="3" t="s">
        <v>6</v>
      </c>
      <c r="E157" s="212">
        <v>1000</v>
      </c>
      <c r="F157" s="3">
        <v>38</v>
      </c>
      <c r="G157" s="3">
        <v>9200</v>
      </c>
      <c r="H157" s="3">
        <v>14500</v>
      </c>
      <c r="I157" s="3">
        <v>150</v>
      </c>
      <c r="J157" t="s">
        <v>336</v>
      </c>
    </row>
    <row r="158" spans="4:10" x14ac:dyDescent="0.25">
      <c r="D158" s="3" t="s">
        <v>6</v>
      </c>
      <c r="E158" s="212">
        <v>1000</v>
      </c>
      <c r="F158" s="3">
        <v>50</v>
      </c>
      <c r="G158" s="3">
        <v>9200</v>
      </c>
      <c r="H158" s="3">
        <v>14600</v>
      </c>
      <c r="I158" s="3">
        <v>150</v>
      </c>
      <c r="J158" t="s">
        <v>337</v>
      </c>
    </row>
    <row r="159" spans="4:10" x14ac:dyDescent="0.25">
      <c r="D159" s="3" t="s">
        <v>6</v>
      </c>
      <c r="E159" s="212">
        <v>1000</v>
      </c>
      <c r="F159" s="3">
        <v>63</v>
      </c>
      <c r="G159" s="3">
        <v>9200</v>
      </c>
      <c r="H159" s="3">
        <v>14700</v>
      </c>
      <c r="I159" s="3">
        <v>150</v>
      </c>
      <c r="J159" t="s">
        <v>338</v>
      </c>
    </row>
    <row r="160" spans="4:10" x14ac:dyDescent="0.25">
      <c r="D160" s="3" t="s">
        <v>6</v>
      </c>
      <c r="E160" s="212">
        <v>1000</v>
      </c>
      <c r="F160" s="3">
        <v>75</v>
      </c>
      <c r="G160" s="3">
        <v>9200</v>
      </c>
      <c r="H160" s="3">
        <v>14700</v>
      </c>
      <c r="I160" s="3">
        <v>150</v>
      </c>
      <c r="J160" t="s">
        <v>496</v>
      </c>
    </row>
    <row r="161" spans="4:10" x14ac:dyDescent="0.25">
      <c r="D161" s="3" t="s">
        <v>6</v>
      </c>
      <c r="E161" s="212">
        <v>1000</v>
      </c>
      <c r="F161" s="3">
        <v>80</v>
      </c>
      <c r="G161" s="3">
        <v>9200</v>
      </c>
      <c r="H161" s="3">
        <v>14800</v>
      </c>
      <c r="I161" s="3">
        <v>150</v>
      </c>
      <c r="J161" t="s">
        <v>339</v>
      </c>
    </row>
    <row r="162" spans="4:10" x14ac:dyDescent="0.25">
      <c r="D162" s="3" t="s">
        <v>6</v>
      </c>
      <c r="E162" s="212">
        <v>1000</v>
      </c>
      <c r="F162" s="3">
        <v>100</v>
      </c>
      <c r="G162" s="3">
        <v>9200</v>
      </c>
      <c r="H162" s="3">
        <v>14800</v>
      </c>
      <c r="I162" s="3">
        <v>150</v>
      </c>
      <c r="J162" t="s">
        <v>78</v>
      </c>
    </row>
    <row r="163" spans="4:10" x14ac:dyDescent="0.25">
      <c r="D163" s="3" t="s">
        <v>6</v>
      </c>
      <c r="E163" s="212">
        <v>1000</v>
      </c>
      <c r="F163" s="3">
        <v>125</v>
      </c>
      <c r="G163" s="3">
        <v>9200</v>
      </c>
      <c r="H163" s="3">
        <v>14800</v>
      </c>
      <c r="I163" s="3">
        <v>150</v>
      </c>
      <c r="J163" t="s">
        <v>79</v>
      </c>
    </row>
    <row r="164" spans="4:10" x14ac:dyDescent="0.25">
      <c r="D164" s="3" t="s">
        <v>6</v>
      </c>
      <c r="E164" s="212">
        <v>1500</v>
      </c>
      <c r="F164" s="3">
        <v>13</v>
      </c>
      <c r="G164" s="3">
        <v>15000</v>
      </c>
      <c r="H164" s="3">
        <v>24000</v>
      </c>
      <c r="I164" s="3">
        <v>150</v>
      </c>
      <c r="J164" t="s">
        <v>497</v>
      </c>
    </row>
    <row r="165" spans="4:10" x14ac:dyDescent="0.25">
      <c r="D165" s="3" t="s">
        <v>6</v>
      </c>
      <c r="E165" s="212">
        <v>1500</v>
      </c>
      <c r="F165" s="3">
        <v>16</v>
      </c>
      <c r="G165" s="3">
        <v>15000</v>
      </c>
      <c r="H165" s="3">
        <v>24100</v>
      </c>
      <c r="I165" s="3">
        <v>150</v>
      </c>
      <c r="J165" t="s">
        <v>498</v>
      </c>
    </row>
    <row r="166" spans="4:10" x14ac:dyDescent="0.25">
      <c r="D166" s="3" t="s">
        <v>6</v>
      </c>
      <c r="E166" s="212">
        <v>1500</v>
      </c>
      <c r="F166" s="3">
        <v>19</v>
      </c>
      <c r="G166" s="3">
        <v>15000</v>
      </c>
      <c r="H166" s="3">
        <v>24200</v>
      </c>
      <c r="I166" s="3">
        <v>150</v>
      </c>
      <c r="J166" t="s">
        <v>499</v>
      </c>
    </row>
    <row r="167" spans="4:10" x14ac:dyDescent="0.25">
      <c r="D167" s="3" t="s">
        <v>6</v>
      </c>
      <c r="E167" s="212">
        <v>1500</v>
      </c>
      <c r="F167" s="3">
        <v>25</v>
      </c>
      <c r="G167" s="3">
        <v>15000</v>
      </c>
      <c r="H167" s="3">
        <v>24300</v>
      </c>
      <c r="I167" s="3">
        <v>150</v>
      </c>
      <c r="J167" t="s">
        <v>340</v>
      </c>
    </row>
    <row r="168" spans="4:10" x14ac:dyDescent="0.25">
      <c r="D168" s="3" t="s">
        <v>6</v>
      </c>
      <c r="E168" s="212">
        <v>1500</v>
      </c>
      <c r="F168" s="3">
        <v>32</v>
      </c>
      <c r="G168" s="3">
        <v>15000</v>
      </c>
      <c r="H168" s="3">
        <v>23800</v>
      </c>
      <c r="I168" s="3">
        <v>150</v>
      </c>
      <c r="J168" t="s">
        <v>500</v>
      </c>
    </row>
    <row r="169" spans="4:10" x14ac:dyDescent="0.25">
      <c r="D169" s="3" t="s">
        <v>6</v>
      </c>
      <c r="E169" s="212">
        <v>1500</v>
      </c>
      <c r="F169" s="3">
        <v>38</v>
      </c>
      <c r="G169" s="3">
        <v>15000</v>
      </c>
      <c r="H169" s="3">
        <v>23900</v>
      </c>
      <c r="I169" s="3">
        <v>150</v>
      </c>
      <c r="J169" t="s">
        <v>341</v>
      </c>
    </row>
    <row r="170" spans="4:10" x14ac:dyDescent="0.25">
      <c r="D170" s="3" t="s">
        <v>6</v>
      </c>
      <c r="E170" s="212">
        <v>1500</v>
      </c>
      <c r="F170" s="3">
        <v>50</v>
      </c>
      <c r="G170" s="3">
        <v>15000</v>
      </c>
      <c r="H170" s="3">
        <v>24000</v>
      </c>
      <c r="I170" s="3">
        <v>150</v>
      </c>
      <c r="J170" t="s">
        <v>342</v>
      </c>
    </row>
    <row r="171" spans="4:10" x14ac:dyDescent="0.25">
      <c r="D171" s="3" t="s">
        <v>6</v>
      </c>
      <c r="E171" s="212">
        <v>1500</v>
      </c>
      <c r="F171" s="3">
        <v>63</v>
      </c>
      <c r="G171" s="3">
        <v>15000</v>
      </c>
      <c r="H171" s="3">
        <v>24100</v>
      </c>
      <c r="I171" s="3">
        <v>150</v>
      </c>
      <c r="J171" t="s">
        <v>343</v>
      </c>
    </row>
    <row r="172" spans="4:10" x14ac:dyDescent="0.25">
      <c r="D172" s="3" t="s">
        <v>6</v>
      </c>
      <c r="E172" s="212">
        <v>1500</v>
      </c>
      <c r="F172" s="3">
        <v>75</v>
      </c>
      <c r="G172" s="3">
        <v>15000</v>
      </c>
      <c r="H172" s="3">
        <v>24200</v>
      </c>
      <c r="I172" s="3">
        <v>150</v>
      </c>
      <c r="J172" t="s">
        <v>501</v>
      </c>
    </row>
    <row r="173" spans="4:10" x14ac:dyDescent="0.25">
      <c r="D173" s="3" t="s">
        <v>6</v>
      </c>
      <c r="E173" s="212">
        <v>1500</v>
      </c>
      <c r="F173" s="3">
        <v>80</v>
      </c>
      <c r="G173" s="3">
        <v>15000</v>
      </c>
      <c r="H173" s="3">
        <v>24200</v>
      </c>
      <c r="I173" s="3">
        <v>150</v>
      </c>
      <c r="J173" t="s">
        <v>344</v>
      </c>
    </row>
    <row r="174" spans="4:10" x14ac:dyDescent="0.25">
      <c r="D174" s="3" t="s">
        <v>6</v>
      </c>
      <c r="E174" s="212">
        <v>1500</v>
      </c>
      <c r="F174" s="3">
        <v>100</v>
      </c>
      <c r="G174" s="3">
        <v>15000</v>
      </c>
      <c r="H174" s="3">
        <v>24300</v>
      </c>
      <c r="I174" s="3">
        <v>150</v>
      </c>
      <c r="J174" t="s">
        <v>80</v>
      </c>
    </row>
    <row r="175" spans="4:10" x14ac:dyDescent="0.25">
      <c r="D175" s="3" t="s">
        <v>6</v>
      </c>
      <c r="E175" s="212">
        <v>1500</v>
      </c>
      <c r="F175" s="3">
        <v>125</v>
      </c>
      <c r="G175" s="3">
        <v>15000</v>
      </c>
      <c r="H175" s="3">
        <v>24300</v>
      </c>
      <c r="I175" s="3">
        <v>150</v>
      </c>
      <c r="J175" t="s">
        <v>81</v>
      </c>
    </row>
    <row r="176" spans="4:10" x14ac:dyDescent="0.25">
      <c r="D176" s="3" t="s">
        <v>6</v>
      </c>
      <c r="E176" s="212">
        <v>2400</v>
      </c>
      <c r="F176" s="3">
        <v>16</v>
      </c>
      <c r="G176" s="3">
        <v>24000</v>
      </c>
      <c r="H176" s="3">
        <v>38300</v>
      </c>
      <c r="I176" s="3">
        <v>150</v>
      </c>
      <c r="J176" t="s">
        <v>379</v>
      </c>
    </row>
    <row r="177" spans="4:10" x14ac:dyDescent="0.25">
      <c r="D177" s="3" t="s">
        <v>6</v>
      </c>
      <c r="E177" s="212">
        <v>2400</v>
      </c>
      <c r="F177" s="3">
        <v>19</v>
      </c>
      <c r="G177" s="3">
        <v>24000</v>
      </c>
      <c r="H177" s="3">
        <v>38500</v>
      </c>
      <c r="I177" s="3">
        <v>150</v>
      </c>
      <c r="J177" t="s">
        <v>502</v>
      </c>
    </row>
    <row r="178" spans="4:10" x14ac:dyDescent="0.25">
      <c r="D178" s="3" t="s">
        <v>6</v>
      </c>
      <c r="E178" s="212">
        <v>2400</v>
      </c>
      <c r="F178" s="3">
        <v>25</v>
      </c>
      <c r="G178" s="3">
        <v>24000</v>
      </c>
      <c r="H178" s="3">
        <v>38700</v>
      </c>
      <c r="I178" s="3">
        <v>150</v>
      </c>
      <c r="J178" t="s">
        <v>345</v>
      </c>
    </row>
    <row r="179" spans="4:10" x14ac:dyDescent="0.25">
      <c r="D179" s="3" t="s">
        <v>6</v>
      </c>
      <c r="E179" s="212">
        <v>2400</v>
      </c>
      <c r="F179" s="3">
        <v>32</v>
      </c>
      <c r="G179" s="3">
        <v>24000</v>
      </c>
      <c r="H179" s="3">
        <v>38600</v>
      </c>
      <c r="I179" s="3">
        <v>150</v>
      </c>
      <c r="J179" t="s">
        <v>503</v>
      </c>
    </row>
    <row r="180" spans="4:10" x14ac:dyDescent="0.25">
      <c r="D180" s="3" t="s">
        <v>6</v>
      </c>
      <c r="E180" s="212">
        <v>2400</v>
      </c>
      <c r="F180" s="3">
        <v>38</v>
      </c>
      <c r="G180" s="3">
        <v>24000</v>
      </c>
      <c r="H180" s="3">
        <v>38400</v>
      </c>
      <c r="I180" s="3">
        <v>150</v>
      </c>
      <c r="J180" t="s">
        <v>346</v>
      </c>
    </row>
    <row r="181" spans="4:10" x14ac:dyDescent="0.25">
      <c r="D181" s="3" t="s">
        <v>6</v>
      </c>
      <c r="E181" s="212">
        <v>2400</v>
      </c>
      <c r="F181" s="3">
        <v>50</v>
      </c>
      <c r="G181" s="3">
        <v>24000</v>
      </c>
      <c r="H181" s="3">
        <v>39200</v>
      </c>
      <c r="I181" s="3">
        <v>150</v>
      </c>
      <c r="J181" t="s">
        <v>347</v>
      </c>
    </row>
    <row r="182" spans="4:10" x14ac:dyDescent="0.25">
      <c r="D182" s="3" t="s">
        <v>6</v>
      </c>
      <c r="E182" s="212">
        <v>2400</v>
      </c>
      <c r="F182" s="3">
        <v>63</v>
      </c>
      <c r="G182" s="3">
        <v>24000</v>
      </c>
      <c r="H182" s="3">
        <v>39200</v>
      </c>
      <c r="I182" s="3">
        <v>150</v>
      </c>
      <c r="J182" t="s">
        <v>348</v>
      </c>
    </row>
    <row r="183" spans="4:10" x14ac:dyDescent="0.25">
      <c r="D183" s="3" t="s">
        <v>6</v>
      </c>
      <c r="E183" s="212">
        <v>2400</v>
      </c>
      <c r="F183" s="3">
        <v>75</v>
      </c>
      <c r="G183" s="3">
        <v>24000</v>
      </c>
      <c r="H183" s="3">
        <v>39200</v>
      </c>
      <c r="I183" s="3">
        <v>150</v>
      </c>
      <c r="J183" t="s">
        <v>504</v>
      </c>
    </row>
    <row r="184" spans="4:10" x14ac:dyDescent="0.25">
      <c r="D184" s="3" t="s">
        <v>6</v>
      </c>
      <c r="E184" s="212">
        <v>2400</v>
      </c>
      <c r="F184" s="3">
        <v>80</v>
      </c>
      <c r="G184" s="3">
        <v>24000</v>
      </c>
      <c r="H184" s="3">
        <v>39200</v>
      </c>
      <c r="I184" s="3">
        <v>150</v>
      </c>
      <c r="J184" t="s">
        <v>349</v>
      </c>
    </row>
    <row r="185" spans="4:10" x14ac:dyDescent="0.25">
      <c r="D185" s="3" t="s">
        <v>6</v>
      </c>
      <c r="E185" s="212">
        <v>2400</v>
      </c>
      <c r="F185" s="3">
        <v>100</v>
      </c>
      <c r="G185" s="3">
        <v>24000</v>
      </c>
      <c r="H185" s="3">
        <v>39300</v>
      </c>
      <c r="I185" s="3">
        <v>150</v>
      </c>
      <c r="J185" t="s">
        <v>82</v>
      </c>
    </row>
    <row r="186" spans="4:10" x14ac:dyDescent="0.25">
      <c r="D186" s="3" t="s">
        <v>6</v>
      </c>
      <c r="E186" s="212">
        <v>2400</v>
      </c>
      <c r="F186" s="3">
        <v>125</v>
      </c>
      <c r="G186" s="3">
        <v>24000</v>
      </c>
      <c r="H186" s="3">
        <v>39300</v>
      </c>
      <c r="I186" s="3">
        <v>150</v>
      </c>
      <c r="J186" t="s">
        <v>83</v>
      </c>
    </row>
    <row r="187" spans="4:10" x14ac:dyDescent="0.25">
      <c r="D187" s="3" t="s">
        <v>6</v>
      </c>
      <c r="E187" s="212">
        <v>4200</v>
      </c>
      <c r="F187" s="3">
        <v>16</v>
      </c>
      <c r="G187" s="3">
        <v>42000</v>
      </c>
      <c r="H187" s="3">
        <v>61700</v>
      </c>
      <c r="I187" s="3">
        <v>150</v>
      </c>
      <c r="J187" t="s">
        <v>380</v>
      </c>
    </row>
    <row r="188" spans="4:10" x14ac:dyDescent="0.25">
      <c r="D188" s="3" t="s">
        <v>6</v>
      </c>
      <c r="E188" s="212">
        <v>4200</v>
      </c>
      <c r="F188" s="3">
        <v>19</v>
      </c>
      <c r="G188" s="3">
        <v>42000</v>
      </c>
      <c r="H188" s="3">
        <v>63700</v>
      </c>
      <c r="I188" s="3">
        <v>150</v>
      </c>
      <c r="J188" t="s">
        <v>505</v>
      </c>
    </row>
    <row r="189" spans="4:10" x14ac:dyDescent="0.25">
      <c r="D189" s="3" t="s">
        <v>6</v>
      </c>
      <c r="E189" s="212">
        <v>4200</v>
      </c>
      <c r="F189" s="3">
        <v>25</v>
      </c>
      <c r="G189" s="3">
        <v>42000</v>
      </c>
      <c r="H189" s="3">
        <v>60800</v>
      </c>
      <c r="I189" s="3">
        <v>150</v>
      </c>
      <c r="J189" t="s">
        <v>350</v>
      </c>
    </row>
    <row r="190" spans="4:10" x14ac:dyDescent="0.25">
      <c r="D190" s="3" t="s">
        <v>6</v>
      </c>
      <c r="E190" s="212">
        <v>4200</v>
      </c>
      <c r="F190" s="3">
        <v>32</v>
      </c>
      <c r="G190" s="3">
        <v>42000</v>
      </c>
      <c r="H190" s="3">
        <v>64300</v>
      </c>
      <c r="I190" s="3">
        <v>150</v>
      </c>
      <c r="J190" t="s">
        <v>506</v>
      </c>
    </row>
    <row r="191" spans="4:10" x14ac:dyDescent="0.25">
      <c r="D191" s="3" t="s">
        <v>6</v>
      </c>
      <c r="E191" s="212">
        <v>4200</v>
      </c>
      <c r="F191" s="3">
        <v>38</v>
      </c>
      <c r="G191" s="3">
        <v>42000</v>
      </c>
      <c r="H191" s="3">
        <v>65800</v>
      </c>
      <c r="I191" s="3">
        <v>150</v>
      </c>
      <c r="J191" t="s">
        <v>351</v>
      </c>
    </row>
    <row r="192" spans="4:10" x14ac:dyDescent="0.25">
      <c r="D192" s="3" t="s">
        <v>6</v>
      </c>
      <c r="E192" s="212">
        <v>4200</v>
      </c>
      <c r="F192" s="3">
        <v>50</v>
      </c>
      <c r="G192" s="3">
        <v>42000</v>
      </c>
      <c r="H192" s="3">
        <v>67000</v>
      </c>
      <c r="I192" s="3">
        <v>150</v>
      </c>
      <c r="J192" t="s">
        <v>352</v>
      </c>
    </row>
    <row r="193" spans="4:10" x14ac:dyDescent="0.25">
      <c r="D193" s="3" t="s">
        <v>6</v>
      </c>
      <c r="E193" s="212">
        <v>4200</v>
      </c>
      <c r="F193" s="3">
        <v>63</v>
      </c>
      <c r="G193" s="3">
        <v>42000</v>
      </c>
      <c r="H193" s="3">
        <v>67800</v>
      </c>
      <c r="I193" s="3">
        <v>150</v>
      </c>
      <c r="J193" t="s">
        <v>353</v>
      </c>
    </row>
    <row r="194" spans="4:10" x14ac:dyDescent="0.25">
      <c r="D194" s="3" t="s">
        <v>6</v>
      </c>
      <c r="E194" s="212">
        <v>4200</v>
      </c>
      <c r="F194" s="3">
        <v>75</v>
      </c>
      <c r="G194" s="3">
        <v>42000</v>
      </c>
      <c r="H194" s="3">
        <v>68000</v>
      </c>
      <c r="I194" s="3">
        <v>150</v>
      </c>
      <c r="J194" t="s">
        <v>507</v>
      </c>
    </row>
    <row r="195" spans="4:10" x14ac:dyDescent="0.25">
      <c r="D195" s="3" t="s">
        <v>6</v>
      </c>
      <c r="E195" s="212">
        <v>4200</v>
      </c>
      <c r="F195" s="3">
        <v>80</v>
      </c>
      <c r="G195" s="3">
        <v>42000</v>
      </c>
      <c r="H195" s="3">
        <v>68600</v>
      </c>
      <c r="I195" s="3">
        <v>150</v>
      </c>
      <c r="J195" t="s">
        <v>354</v>
      </c>
    </row>
    <row r="196" spans="4:10" x14ac:dyDescent="0.25">
      <c r="D196" s="3" t="s">
        <v>6</v>
      </c>
      <c r="E196" s="212">
        <v>4200</v>
      </c>
      <c r="F196" s="3">
        <v>100</v>
      </c>
      <c r="G196" s="3">
        <v>42000</v>
      </c>
      <c r="H196" s="3">
        <v>69100</v>
      </c>
      <c r="I196" s="3">
        <v>150</v>
      </c>
      <c r="J196" t="s">
        <v>84</v>
      </c>
    </row>
    <row r="197" spans="4:10" x14ac:dyDescent="0.25">
      <c r="D197" s="3" t="s">
        <v>6</v>
      </c>
      <c r="E197" s="212">
        <v>4200</v>
      </c>
      <c r="F197" s="3">
        <v>125</v>
      </c>
      <c r="G197" s="3">
        <v>42000</v>
      </c>
      <c r="H197" s="3">
        <v>69600</v>
      </c>
      <c r="I197" s="3">
        <v>150</v>
      </c>
      <c r="J197" t="s">
        <v>85</v>
      </c>
    </row>
    <row r="198" spans="4:10" x14ac:dyDescent="0.25">
      <c r="D198" s="3" t="s">
        <v>6</v>
      </c>
      <c r="E198" s="212">
        <v>6600</v>
      </c>
      <c r="F198" s="3">
        <v>16</v>
      </c>
      <c r="G198" s="3">
        <v>66300</v>
      </c>
      <c r="H198" s="3">
        <v>89000</v>
      </c>
      <c r="I198" s="3">
        <v>150</v>
      </c>
      <c r="J198" t="s">
        <v>381</v>
      </c>
    </row>
    <row r="199" spans="4:10" x14ac:dyDescent="0.25">
      <c r="D199" s="3" t="s">
        <v>6</v>
      </c>
      <c r="E199" s="212">
        <v>6600</v>
      </c>
      <c r="F199" s="3">
        <v>19</v>
      </c>
      <c r="G199" s="3">
        <v>66300</v>
      </c>
      <c r="H199" s="3">
        <v>91000</v>
      </c>
      <c r="I199" s="3">
        <v>150</v>
      </c>
      <c r="J199" t="s">
        <v>508</v>
      </c>
    </row>
    <row r="200" spans="4:10" x14ac:dyDescent="0.25">
      <c r="D200" s="3" t="s">
        <v>6</v>
      </c>
      <c r="E200" s="212">
        <v>6600</v>
      </c>
      <c r="F200" s="3">
        <v>25</v>
      </c>
      <c r="G200" s="3">
        <v>66300</v>
      </c>
      <c r="H200" s="3">
        <v>93900</v>
      </c>
      <c r="I200" s="3">
        <v>150</v>
      </c>
      <c r="J200" t="s">
        <v>355</v>
      </c>
    </row>
    <row r="201" spans="4:10" x14ac:dyDescent="0.25">
      <c r="D201" s="3" t="s">
        <v>6</v>
      </c>
      <c r="E201" s="212">
        <v>6600</v>
      </c>
      <c r="F201" s="3">
        <v>32</v>
      </c>
      <c r="G201" s="3">
        <v>66300</v>
      </c>
      <c r="H201" s="3">
        <v>96100</v>
      </c>
      <c r="I201" s="3">
        <v>150</v>
      </c>
      <c r="J201" t="s">
        <v>509</v>
      </c>
    </row>
    <row r="202" spans="4:10" x14ac:dyDescent="0.25">
      <c r="D202" s="3" t="s">
        <v>6</v>
      </c>
      <c r="E202" s="212">
        <v>6600</v>
      </c>
      <c r="F202" s="3">
        <v>38</v>
      </c>
      <c r="G202" s="3">
        <v>66300</v>
      </c>
      <c r="H202" s="3">
        <v>98200</v>
      </c>
      <c r="I202" s="3">
        <v>150</v>
      </c>
      <c r="J202" t="s">
        <v>356</v>
      </c>
    </row>
    <row r="203" spans="4:10" x14ac:dyDescent="0.25">
      <c r="D203" s="3" t="s">
        <v>6</v>
      </c>
      <c r="E203" s="212">
        <v>6600</v>
      </c>
      <c r="F203" s="3">
        <v>50</v>
      </c>
      <c r="G203" s="3">
        <v>66300</v>
      </c>
      <c r="H203" s="3">
        <v>100600</v>
      </c>
      <c r="I203" s="3">
        <v>150</v>
      </c>
      <c r="J203" t="s">
        <v>357</v>
      </c>
    </row>
    <row r="204" spans="4:10" x14ac:dyDescent="0.25">
      <c r="D204" s="3" t="s">
        <v>6</v>
      </c>
      <c r="E204" s="212">
        <v>6600</v>
      </c>
      <c r="F204" s="3">
        <v>63</v>
      </c>
      <c r="G204" s="3">
        <v>66300</v>
      </c>
      <c r="H204" s="3">
        <v>102400</v>
      </c>
      <c r="I204" s="3">
        <v>150</v>
      </c>
      <c r="J204" t="s">
        <v>358</v>
      </c>
    </row>
    <row r="205" spans="4:10" x14ac:dyDescent="0.25">
      <c r="D205" s="3" t="s">
        <v>6</v>
      </c>
      <c r="E205" s="212">
        <v>6600</v>
      </c>
      <c r="F205" s="3">
        <v>75</v>
      </c>
      <c r="G205" s="3">
        <v>66300</v>
      </c>
      <c r="H205" s="3">
        <v>103400</v>
      </c>
      <c r="I205" s="3">
        <v>150</v>
      </c>
      <c r="J205" t="s">
        <v>510</v>
      </c>
    </row>
    <row r="206" spans="4:10" x14ac:dyDescent="0.25">
      <c r="D206" s="3" t="s">
        <v>6</v>
      </c>
      <c r="E206" s="212">
        <v>6600</v>
      </c>
      <c r="F206" s="3">
        <v>80</v>
      </c>
      <c r="G206" s="3">
        <v>66300</v>
      </c>
      <c r="H206" s="3">
        <v>104100</v>
      </c>
      <c r="I206" s="3">
        <v>150</v>
      </c>
      <c r="J206" t="s">
        <v>359</v>
      </c>
    </row>
    <row r="207" spans="4:10" x14ac:dyDescent="0.25">
      <c r="D207" s="3" t="s">
        <v>6</v>
      </c>
      <c r="E207" s="212">
        <v>6600</v>
      </c>
      <c r="F207" s="3">
        <v>100</v>
      </c>
      <c r="G207" s="3">
        <v>66300</v>
      </c>
      <c r="H207" s="3">
        <v>105400</v>
      </c>
      <c r="I207" s="3">
        <v>150</v>
      </c>
      <c r="J207" t="s">
        <v>86</v>
      </c>
    </row>
    <row r="208" spans="4:10" x14ac:dyDescent="0.25">
      <c r="D208" s="3" t="s">
        <v>6</v>
      </c>
      <c r="E208" s="212">
        <v>6600</v>
      </c>
      <c r="F208" s="3">
        <v>125</v>
      </c>
      <c r="G208" s="3">
        <v>66300</v>
      </c>
      <c r="H208" s="3">
        <v>106500</v>
      </c>
      <c r="I208" s="3">
        <v>150</v>
      </c>
      <c r="J208" t="s">
        <v>87</v>
      </c>
    </row>
    <row r="209" spans="4:10" x14ac:dyDescent="0.25">
      <c r="D209" s="3" t="s">
        <v>6</v>
      </c>
      <c r="E209" s="212">
        <v>9500</v>
      </c>
      <c r="F209" s="3">
        <v>19</v>
      </c>
      <c r="G209" s="3">
        <v>95000</v>
      </c>
      <c r="H209" s="3">
        <v>135000</v>
      </c>
      <c r="I209" s="3">
        <v>150</v>
      </c>
      <c r="J209" t="s">
        <v>511</v>
      </c>
    </row>
    <row r="210" spans="4:10" x14ac:dyDescent="0.25">
      <c r="D210" s="3" t="s">
        <v>6</v>
      </c>
      <c r="E210" s="212">
        <v>9500</v>
      </c>
      <c r="F210" s="3">
        <v>25</v>
      </c>
      <c r="G210" s="3">
        <v>95000</v>
      </c>
      <c r="H210" s="3">
        <v>139000</v>
      </c>
      <c r="I210" s="3">
        <v>150</v>
      </c>
      <c r="J210" t="s">
        <v>360</v>
      </c>
    </row>
    <row r="211" spans="4:10" x14ac:dyDescent="0.25">
      <c r="D211" s="3" t="s">
        <v>6</v>
      </c>
      <c r="E211" s="212">
        <v>9500</v>
      </c>
      <c r="F211" s="3">
        <v>32</v>
      </c>
      <c r="G211" s="3">
        <v>95000</v>
      </c>
      <c r="H211" s="3">
        <v>142000</v>
      </c>
      <c r="I211" s="3">
        <v>150</v>
      </c>
      <c r="J211" t="s">
        <v>512</v>
      </c>
    </row>
    <row r="212" spans="4:10" x14ac:dyDescent="0.25">
      <c r="D212" s="3" t="s">
        <v>6</v>
      </c>
      <c r="E212" s="212">
        <v>9500</v>
      </c>
      <c r="F212" s="3">
        <v>38</v>
      </c>
      <c r="G212" s="3">
        <v>95000</v>
      </c>
      <c r="H212" s="3">
        <v>143000</v>
      </c>
      <c r="I212" s="3">
        <v>150</v>
      </c>
      <c r="J212" t="s">
        <v>361</v>
      </c>
    </row>
    <row r="213" spans="4:10" x14ac:dyDescent="0.25">
      <c r="D213" s="3" t="s">
        <v>6</v>
      </c>
      <c r="E213" s="212">
        <v>9500</v>
      </c>
      <c r="F213" s="3">
        <v>50</v>
      </c>
      <c r="G213" s="3">
        <v>95000</v>
      </c>
      <c r="H213" s="3">
        <v>146000</v>
      </c>
      <c r="I213" s="3">
        <v>150</v>
      </c>
      <c r="J213" t="s">
        <v>362</v>
      </c>
    </row>
    <row r="214" spans="4:10" x14ac:dyDescent="0.25">
      <c r="D214" s="3" t="s">
        <v>6</v>
      </c>
      <c r="E214" s="212">
        <v>9500</v>
      </c>
      <c r="F214" s="3">
        <v>63</v>
      </c>
      <c r="G214" s="3">
        <v>95000</v>
      </c>
      <c r="H214" s="3">
        <v>148000</v>
      </c>
      <c r="I214" s="3">
        <v>150</v>
      </c>
      <c r="J214" t="s">
        <v>363</v>
      </c>
    </row>
    <row r="215" spans="4:10" x14ac:dyDescent="0.25">
      <c r="D215" s="3" t="s">
        <v>6</v>
      </c>
      <c r="E215" s="212">
        <v>9500</v>
      </c>
      <c r="F215" s="3">
        <v>75</v>
      </c>
      <c r="G215" s="3">
        <v>95000</v>
      </c>
      <c r="H215" s="3">
        <v>149000</v>
      </c>
      <c r="I215" s="3">
        <v>150</v>
      </c>
      <c r="J215" t="s">
        <v>513</v>
      </c>
    </row>
    <row r="216" spans="4:10" x14ac:dyDescent="0.25">
      <c r="D216" s="3" t="s">
        <v>6</v>
      </c>
      <c r="E216" s="212">
        <v>9500</v>
      </c>
      <c r="F216" s="3">
        <v>80</v>
      </c>
      <c r="G216" s="3">
        <v>95000</v>
      </c>
      <c r="H216" s="3">
        <v>150000</v>
      </c>
      <c r="I216" s="3">
        <v>150</v>
      </c>
      <c r="J216" t="s">
        <v>364</v>
      </c>
    </row>
    <row r="217" spans="4:10" x14ac:dyDescent="0.25">
      <c r="D217" s="3" t="s">
        <v>6</v>
      </c>
      <c r="E217" s="212">
        <v>9500</v>
      </c>
      <c r="F217" s="3">
        <v>100</v>
      </c>
      <c r="G217" s="3">
        <v>95000</v>
      </c>
      <c r="H217" s="3">
        <v>151000</v>
      </c>
      <c r="I217" s="3">
        <v>150</v>
      </c>
      <c r="J217" t="s">
        <v>88</v>
      </c>
    </row>
    <row r="218" spans="4:10" x14ac:dyDescent="0.25">
      <c r="D218" s="3" t="s">
        <v>6</v>
      </c>
      <c r="E218" s="212">
        <v>9500</v>
      </c>
      <c r="F218" s="3">
        <v>125</v>
      </c>
      <c r="G218" s="3">
        <v>95000</v>
      </c>
      <c r="H218" s="3">
        <v>152000</v>
      </c>
      <c r="I218" s="3">
        <v>150</v>
      </c>
      <c r="J218" t="s">
        <v>89</v>
      </c>
    </row>
    <row r="219" spans="4:10" x14ac:dyDescent="0.25">
      <c r="D219" s="3" t="s">
        <v>6</v>
      </c>
      <c r="E219" s="212">
        <v>20000</v>
      </c>
      <c r="F219" s="3">
        <v>19</v>
      </c>
      <c r="G219" s="3">
        <v>200000</v>
      </c>
      <c r="H219" s="3">
        <v>259000</v>
      </c>
      <c r="I219" s="3">
        <v>150</v>
      </c>
      <c r="J219" t="s">
        <v>514</v>
      </c>
    </row>
    <row r="220" spans="4:10" x14ac:dyDescent="0.25">
      <c r="D220" s="3" t="s">
        <v>6</v>
      </c>
      <c r="E220" s="212">
        <v>20000</v>
      </c>
      <c r="F220" s="3">
        <v>25</v>
      </c>
      <c r="G220" s="3">
        <v>200000</v>
      </c>
      <c r="H220" s="3">
        <v>270000</v>
      </c>
      <c r="I220" s="3">
        <v>150</v>
      </c>
      <c r="J220" t="s">
        <v>382</v>
      </c>
    </row>
    <row r="221" spans="4:10" x14ac:dyDescent="0.25">
      <c r="D221" s="3" t="s">
        <v>6</v>
      </c>
      <c r="E221" s="212">
        <v>20000</v>
      </c>
      <c r="F221" s="3">
        <v>32</v>
      </c>
      <c r="G221" s="3">
        <v>200000</v>
      </c>
      <c r="H221" s="3">
        <v>280000</v>
      </c>
      <c r="I221" s="3">
        <v>150</v>
      </c>
      <c r="J221" t="s">
        <v>515</v>
      </c>
    </row>
    <row r="222" spans="4:10" x14ac:dyDescent="0.25">
      <c r="D222" s="3" t="s">
        <v>6</v>
      </c>
      <c r="E222" s="212">
        <v>20000</v>
      </c>
      <c r="F222" s="3">
        <v>38</v>
      </c>
      <c r="G222" s="3">
        <v>200000</v>
      </c>
      <c r="H222" s="3">
        <v>287000</v>
      </c>
      <c r="I222" s="3">
        <v>150</v>
      </c>
      <c r="J222" t="s">
        <v>516</v>
      </c>
    </row>
    <row r="223" spans="4:10" x14ac:dyDescent="0.25">
      <c r="D223" s="3" t="s">
        <v>6</v>
      </c>
      <c r="E223" s="212">
        <v>20000</v>
      </c>
      <c r="F223" s="3">
        <v>50</v>
      </c>
      <c r="G223" s="3">
        <v>200000</v>
      </c>
      <c r="H223" s="3">
        <v>298000</v>
      </c>
      <c r="I223" s="3">
        <v>150</v>
      </c>
      <c r="J223" t="s">
        <v>383</v>
      </c>
    </row>
    <row r="224" spans="4:10" x14ac:dyDescent="0.25">
      <c r="D224" s="3" t="s">
        <v>6</v>
      </c>
      <c r="E224" s="212">
        <v>20000</v>
      </c>
      <c r="F224" s="3">
        <v>63</v>
      </c>
      <c r="G224" s="3">
        <v>200000</v>
      </c>
      <c r="H224" s="3">
        <v>307000</v>
      </c>
      <c r="I224" s="3">
        <v>150</v>
      </c>
      <c r="J224" t="s">
        <v>384</v>
      </c>
    </row>
    <row r="225" spans="4:10" x14ac:dyDescent="0.25">
      <c r="D225" s="3" t="s">
        <v>6</v>
      </c>
      <c r="E225" s="212">
        <v>20000</v>
      </c>
      <c r="F225" s="3">
        <v>75</v>
      </c>
      <c r="G225" s="3">
        <v>200000</v>
      </c>
      <c r="H225" s="3">
        <v>313000</v>
      </c>
      <c r="I225" s="3">
        <v>150</v>
      </c>
      <c r="J225" t="s">
        <v>517</v>
      </c>
    </row>
    <row r="226" spans="4:10" x14ac:dyDescent="0.25">
      <c r="D226" s="3" t="s">
        <v>6</v>
      </c>
      <c r="E226" s="212">
        <v>20000</v>
      </c>
      <c r="F226" s="3">
        <v>80</v>
      </c>
      <c r="G226" s="3">
        <v>200000</v>
      </c>
      <c r="H226" s="3">
        <v>315000</v>
      </c>
      <c r="I226" s="3">
        <v>150</v>
      </c>
      <c r="J226" t="s">
        <v>385</v>
      </c>
    </row>
    <row r="227" spans="4:10" x14ac:dyDescent="0.25">
      <c r="D227" s="3" t="s">
        <v>6</v>
      </c>
      <c r="E227" s="212">
        <v>20000</v>
      </c>
      <c r="F227" s="3">
        <v>100</v>
      </c>
      <c r="G227" s="3">
        <v>200000</v>
      </c>
      <c r="H227" s="3">
        <v>323000</v>
      </c>
      <c r="I227" s="3">
        <v>150</v>
      </c>
      <c r="J227" t="s">
        <v>169</v>
      </c>
    </row>
    <row r="228" spans="4:10" x14ac:dyDescent="0.25">
      <c r="D228" s="3" t="s">
        <v>6</v>
      </c>
      <c r="E228" s="212">
        <v>20000</v>
      </c>
      <c r="F228" s="3">
        <v>125</v>
      </c>
      <c r="G228" s="3">
        <v>200000</v>
      </c>
      <c r="H228" s="3">
        <v>330000</v>
      </c>
      <c r="I228" s="3">
        <v>150</v>
      </c>
      <c r="J228" t="s">
        <v>170</v>
      </c>
    </row>
    <row r="229" spans="4:10" x14ac:dyDescent="0.25">
      <c r="D229" s="3" t="s">
        <v>68</v>
      </c>
      <c r="E229" s="3">
        <v>750</v>
      </c>
      <c r="F229" s="3">
        <v>13</v>
      </c>
      <c r="G229" s="3">
        <v>7400</v>
      </c>
      <c r="H229" s="3">
        <v>12000</v>
      </c>
      <c r="I229" s="3">
        <v>150</v>
      </c>
      <c r="J229" t="s">
        <v>518</v>
      </c>
    </row>
    <row r="230" spans="4:10" x14ac:dyDescent="0.25">
      <c r="D230" s="3" t="s">
        <v>68</v>
      </c>
      <c r="E230" s="3">
        <v>750</v>
      </c>
      <c r="F230" s="3">
        <v>25</v>
      </c>
      <c r="G230" s="3">
        <v>7400</v>
      </c>
      <c r="H230" s="3">
        <v>12000</v>
      </c>
      <c r="I230" s="3">
        <v>150</v>
      </c>
      <c r="J230" t="s">
        <v>519</v>
      </c>
    </row>
    <row r="231" spans="4:10" x14ac:dyDescent="0.25">
      <c r="D231" s="3" t="s">
        <v>68</v>
      </c>
      <c r="E231" s="3">
        <v>750</v>
      </c>
      <c r="F231" s="3">
        <v>38</v>
      </c>
      <c r="G231" s="3">
        <v>7400</v>
      </c>
      <c r="H231" s="3">
        <v>12000</v>
      </c>
      <c r="I231" s="3">
        <v>150</v>
      </c>
      <c r="J231" t="s">
        <v>520</v>
      </c>
    </row>
    <row r="232" spans="4:10" x14ac:dyDescent="0.25">
      <c r="D232" s="3" t="s">
        <v>68</v>
      </c>
      <c r="E232" s="3">
        <v>750</v>
      </c>
      <c r="F232" s="3">
        <v>50</v>
      </c>
      <c r="G232" s="3">
        <v>7400</v>
      </c>
      <c r="H232" s="3">
        <v>12000</v>
      </c>
      <c r="I232" s="3">
        <v>150</v>
      </c>
      <c r="J232" t="s">
        <v>521</v>
      </c>
    </row>
    <row r="233" spans="4:10" x14ac:dyDescent="0.25">
      <c r="D233" s="3" t="s">
        <v>68</v>
      </c>
      <c r="E233" s="3">
        <v>750</v>
      </c>
      <c r="F233" s="3">
        <v>63</v>
      </c>
      <c r="G233" s="3">
        <v>7400</v>
      </c>
      <c r="H233" s="3">
        <v>12000</v>
      </c>
      <c r="I233" s="3">
        <v>150</v>
      </c>
      <c r="J233" t="s">
        <v>522</v>
      </c>
    </row>
    <row r="234" spans="4:10" x14ac:dyDescent="0.25">
      <c r="D234" s="3" t="s">
        <v>68</v>
      </c>
      <c r="E234" s="3">
        <v>750</v>
      </c>
      <c r="F234" s="3">
        <v>75</v>
      </c>
      <c r="G234" s="3">
        <v>7400</v>
      </c>
      <c r="H234" s="3">
        <v>12000</v>
      </c>
      <c r="I234" s="3">
        <v>150</v>
      </c>
      <c r="J234" t="s">
        <v>523</v>
      </c>
    </row>
    <row r="235" spans="4:10" x14ac:dyDescent="0.25">
      <c r="D235" s="3" t="s">
        <v>68</v>
      </c>
      <c r="E235" s="3">
        <v>750</v>
      </c>
      <c r="F235" s="3">
        <v>80</v>
      </c>
      <c r="G235" s="3">
        <v>7400</v>
      </c>
      <c r="H235" s="3">
        <v>12000</v>
      </c>
      <c r="I235" s="3">
        <v>150</v>
      </c>
      <c r="J235" t="s">
        <v>524</v>
      </c>
    </row>
    <row r="236" spans="4:10" x14ac:dyDescent="0.25">
      <c r="D236" s="3" t="s">
        <v>68</v>
      </c>
      <c r="E236" s="3">
        <v>750</v>
      </c>
      <c r="F236" s="3">
        <v>100</v>
      </c>
      <c r="G236" s="3">
        <v>7400</v>
      </c>
      <c r="H236" s="3">
        <v>12000</v>
      </c>
      <c r="I236" s="3">
        <v>150</v>
      </c>
      <c r="J236" t="s">
        <v>525</v>
      </c>
    </row>
    <row r="237" spans="4:10" x14ac:dyDescent="0.25">
      <c r="D237" s="3" t="s">
        <v>68</v>
      </c>
      <c r="E237" s="3">
        <v>750</v>
      </c>
      <c r="F237" s="3">
        <v>125</v>
      </c>
      <c r="G237" s="3">
        <v>7400</v>
      </c>
      <c r="H237" s="3">
        <v>12100</v>
      </c>
      <c r="I237" s="3">
        <v>150</v>
      </c>
      <c r="J237" t="s">
        <v>526</v>
      </c>
    </row>
    <row r="238" spans="4:10" x14ac:dyDescent="0.25">
      <c r="D238" s="3" t="s">
        <v>68</v>
      </c>
      <c r="E238" s="3">
        <v>750</v>
      </c>
      <c r="F238" s="3">
        <v>150</v>
      </c>
      <c r="G238" s="3">
        <v>7400</v>
      </c>
      <c r="H238" s="3">
        <v>12100</v>
      </c>
      <c r="I238" s="3">
        <v>150</v>
      </c>
      <c r="J238" t="s">
        <v>527</v>
      </c>
    </row>
    <row r="239" spans="4:10" x14ac:dyDescent="0.25">
      <c r="D239" s="3" t="s">
        <v>68</v>
      </c>
      <c r="E239" s="3">
        <v>750</v>
      </c>
      <c r="F239" s="3">
        <v>160</v>
      </c>
      <c r="G239" s="3">
        <v>7400</v>
      </c>
      <c r="H239" s="3">
        <v>12100</v>
      </c>
      <c r="I239" s="3">
        <v>150</v>
      </c>
      <c r="J239" t="s">
        <v>528</v>
      </c>
    </row>
    <row r="240" spans="4:10" x14ac:dyDescent="0.25">
      <c r="D240" s="3" t="s">
        <v>68</v>
      </c>
      <c r="E240" s="3">
        <v>750</v>
      </c>
      <c r="F240" s="3">
        <v>175</v>
      </c>
      <c r="G240" s="3">
        <v>7400</v>
      </c>
      <c r="H240" s="3">
        <v>12000</v>
      </c>
      <c r="I240" s="3">
        <v>150</v>
      </c>
      <c r="J240" t="s">
        <v>529</v>
      </c>
    </row>
    <row r="241" spans="4:10" x14ac:dyDescent="0.25">
      <c r="D241" s="3" t="s">
        <v>68</v>
      </c>
      <c r="E241" s="3">
        <v>750</v>
      </c>
      <c r="F241" s="3">
        <v>200</v>
      </c>
      <c r="G241" s="3">
        <v>7400</v>
      </c>
      <c r="H241" s="3">
        <v>12100</v>
      </c>
      <c r="I241" s="3">
        <v>150</v>
      </c>
      <c r="J241" t="s">
        <v>530</v>
      </c>
    </row>
    <row r="242" spans="4:10" x14ac:dyDescent="0.25">
      <c r="D242" s="3" t="s">
        <v>68</v>
      </c>
      <c r="E242" s="3">
        <v>1000</v>
      </c>
      <c r="F242" s="3">
        <v>13</v>
      </c>
      <c r="G242" s="3">
        <v>9200</v>
      </c>
      <c r="H242" s="3">
        <v>11200</v>
      </c>
      <c r="I242" s="3">
        <v>150</v>
      </c>
      <c r="J242" t="s">
        <v>531</v>
      </c>
    </row>
    <row r="243" spans="4:10" x14ac:dyDescent="0.25">
      <c r="D243" s="3" t="s">
        <v>68</v>
      </c>
      <c r="E243" s="3">
        <v>1000</v>
      </c>
      <c r="F243" s="3">
        <v>25</v>
      </c>
      <c r="G243" s="3">
        <v>9200</v>
      </c>
      <c r="H243" s="3">
        <v>12100</v>
      </c>
      <c r="I243" s="3">
        <v>150</v>
      </c>
      <c r="J243" t="s">
        <v>532</v>
      </c>
    </row>
    <row r="244" spans="4:10" x14ac:dyDescent="0.25">
      <c r="D244" s="3" t="s">
        <v>68</v>
      </c>
      <c r="E244" s="3">
        <v>1000</v>
      </c>
      <c r="F244" s="3">
        <v>38</v>
      </c>
      <c r="G244" s="3">
        <v>9200</v>
      </c>
      <c r="H244" s="3">
        <v>12800</v>
      </c>
      <c r="I244" s="3">
        <v>150</v>
      </c>
      <c r="J244" t="s">
        <v>533</v>
      </c>
    </row>
    <row r="245" spans="4:10" x14ac:dyDescent="0.25">
      <c r="D245" s="3" t="s">
        <v>68</v>
      </c>
      <c r="E245" s="3">
        <v>1000</v>
      </c>
      <c r="F245" s="3">
        <v>50</v>
      </c>
      <c r="G245" s="3">
        <v>9200</v>
      </c>
      <c r="H245" s="3">
        <v>13200</v>
      </c>
      <c r="I245" s="3">
        <v>150</v>
      </c>
      <c r="J245" t="s">
        <v>387</v>
      </c>
    </row>
    <row r="246" spans="4:10" x14ac:dyDescent="0.25">
      <c r="D246" s="3" t="s">
        <v>68</v>
      </c>
      <c r="E246" s="3">
        <v>1000</v>
      </c>
      <c r="F246" s="3">
        <v>63</v>
      </c>
      <c r="G246" s="3">
        <v>9200</v>
      </c>
      <c r="H246" s="3">
        <v>13500</v>
      </c>
      <c r="I246" s="3">
        <v>150</v>
      </c>
      <c r="J246" t="s">
        <v>534</v>
      </c>
    </row>
    <row r="247" spans="4:10" x14ac:dyDescent="0.25">
      <c r="D247" s="3" t="s">
        <v>68</v>
      </c>
      <c r="E247" s="3">
        <v>1000</v>
      </c>
      <c r="F247" s="3">
        <v>75</v>
      </c>
      <c r="G247" s="3">
        <v>9200</v>
      </c>
      <c r="H247" s="3">
        <v>13700</v>
      </c>
      <c r="I247" s="3">
        <v>150</v>
      </c>
      <c r="J247" t="s">
        <v>535</v>
      </c>
    </row>
    <row r="248" spans="4:10" x14ac:dyDescent="0.25">
      <c r="D248" s="3" t="s">
        <v>68</v>
      </c>
      <c r="E248" s="3">
        <v>1000</v>
      </c>
      <c r="F248" s="3">
        <v>80</v>
      </c>
      <c r="G248" s="3">
        <v>9200</v>
      </c>
      <c r="H248" s="3">
        <v>13800</v>
      </c>
      <c r="I248" s="3">
        <v>150</v>
      </c>
      <c r="J248" t="s">
        <v>388</v>
      </c>
    </row>
    <row r="249" spans="4:10" x14ac:dyDescent="0.25">
      <c r="D249" s="3" t="s">
        <v>68</v>
      </c>
      <c r="E249" s="3">
        <v>1000</v>
      </c>
      <c r="F249" s="3">
        <v>100</v>
      </c>
      <c r="G249" s="3">
        <v>9200</v>
      </c>
      <c r="H249" s="3">
        <v>14100</v>
      </c>
      <c r="I249" s="3">
        <v>150</v>
      </c>
      <c r="J249" t="s">
        <v>139</v>
      </c>
    </row>
    <row r="250" spans="4:10" x14ac:dyDescent="0.25">
      <c r="D250" s="3" t="s">
        <v>68</v>
      </c>
      <c r="E250" s="3">
        <v>1000</v>
      </c>
      <c r="F250" s="3">
        <v>125</v>
      </c>
      <c r="G250" s="3">
        <v>9200</v>
      </c>
      <c r="H250" s="3">
        <v>14300</v>
      </c>
      <c r="I250" s="3">
        <v>150</v>
      </c>
      <c r="J250" t="s">
        <v>140</v>
      </c>
    </row>
    <row r="251" spans="4:10" x14ac:dyDescent="0.25">
      <c r="D251" s="3" t="s">
        <v>68</v>
      </c>
      <c r="E251" s="3">
        <v>1000</v>
      </c>
      <c r="F251" s="3">
        <v>150</v>
      </c>
      <c r="G251" s="3">
        <v>9200</v>
      </c>
      <c r="H251" s="3">
        <v>14500</v>
      </c>
      <c r="I251" s="3">
        <v>150</v>
      </c>
      <c r="J251" t="s">
        <v>536</v>
      </c>
    </row>
    <row r="252" spans="4:10" x14ac:dyDescent="0.25">
      <c r="D252" s="3" t="s">
        <v>68</v>
      </c>
      <c r="E252" s="3">
        <v>1000</v>
      </c>
      <c r="F252" s="3">
        <v>160</v>
      </c>
      <c r="G252" s="3">
        <v>9200</v>
      </c>
      <c r="H252" s="3">
        <v>14500</v>
      </c>
      <c r="I252" s="3">
        <v>150</v>
      </c>
      <c r="J252" t="s">
        <v>141</v>
      </c>
    </row>
    <row r="253" spans="4:10" x14ac:dyDescent="0.25">
      <c r="D253" s="3" t="s">
        <v>68</v>
      </c>
      <c r="E253" s="3">
        <v>1000</v>
      </c>
      <c r="F253" s="3">
        <v>175</v>
      </c>
      <c r="G253" s="3">
        <v>9200</v>
      </c>
      <c r="H253" s="3">
        <v>14600</v>
      </c>
      <c r="I253" s="3">
        <v>150</v>
      </c>
      <c r="J253" t="s">
        <v>537</v>
      </c>
    </row>
    <row r="254" spans="4:10" x14ac:dyDescent="0.25">
      <c r="D254" s="3" t="s">
        <v>68</v>
      </c>
      <c r="E254" s="3">
        <v>1000</v>
      </c>
      <c r="F254" s="3">
        <v>200</v>
      </c>
      <c r="G254" s="3">
        <v>9200</v>
      </c>
      <c r="H254" s="3">
        <v>14700</v>
      </c>
      <c r="I254" s="3">
        <v>150</v>
      </c>
      <c r="J254" t="s">
        <v>142</v>
      </c>
    </row>
    <row r="255" spans="4:10" x14ac:dyDescent="0.25">
      <c r="D255" s="3" t="s">
        <v>68</v>
      </c>
      <c r="E255" s="3">
        <v>1000</v>
      </c>
      <c r="F255" s="3">
        <v>250</v>
      </c>
      <c r="G255" s="3">
        <v>9200</v>
      </c>
      <c r="H255" s="3">
        <v>14800</v>
      </c>
      <c r="I255" s="3">
        <v>150</v>
      </c>
      <c r="J255" t="s">
        <v>143</v>
      </c>
    </row>
    <row r="256" spans="4:10" x14ac:dyDescent="0.25">
      <c r="D256" s="3" t="s">
        <v>68</v>
      </c>
      <c r="E256" s="3">
        <v>1000</v>
      </c>
      <c r="F256" s="3">
        <v>300</v>
      </c>
      <c r="G256" s="3">
        <v>9200</v>
      </c>
      <c r="H256" s="3">
        <v>14900</v>
      </c>
      <c r="I256" s="3">
        <v>150</v>
      </c>
      <c r="J256" t="s">
        <v>144</v>
      </c>
    </row>
    <row r="257" spans="4:10" x14ac:dyDescent="0.25">
      <c r="D257" s="3" t="s">
        <v>68</v>
      </c>
      <c r="E257" s="3">
        <v>1500</v>
      </c>
      <c r="F257" s="3">
        <v>13</v>
      </c>
      <c r="G257" s="3">
        <v>15000</v>
      </c>
      <c r="H257" s="3">
        <v>17700</v>
      </c>
      <c r="I257" s="3">
        <v>150</v>
      </c>
      <c r="J257" t="s">
        <v>538</v>
      </c>
    </row>
    <row r="258" spans="4:10" x14ac:dyDescent="0.25">
      <c r="D258" s="3" t="s">
        <v>68</v>
      </c>
      <c r="E258" s="3">
        <v>1500</v>
      </c>
      <c r="F258" s="3">
        <v>25</v>
      </c>
      <c r="G258" s="3">
        <v>15000</v>
      </c>
      <c r="H258" s="3">
        <v>19100</v>
      </c>
      <c r="I258" s="3">
        <v>150</v>
      </c>
      <c r="J258" t="s">
        <v>539</v>
      </c>
    </row>
    <row r="259" spans="4:10" x14ac:dyDescent="0.25">
      <c r="D259" s="3" t="s">
        <v>68</v>
      </c>
      <c r="E259" s="3">
        <v>1500</v>
      </c>
      <c r="F259" s="3">
        <v>38</v>
      </c>
      <c r="G259" s="3">
        <v>15000</v>
      </c>
      <c r="H259" s="3">
        <v>20000</v>
      </c>
      <c r="I259" s="3">
        <v>150</v>
      </c>
      <c r="J259" t="s">
        <v>540</v>
      </c>
    </row>
    <row r="260" spans="4:10" x14ac:dyDescent="0.25">
      <c r="D260" s="3" t="s">
        <v>68</v>
      </c>
      <c r="E260" s="3">
        <v>1500</v>
      </c>
      <c r="F260" s="3">
        <v>50</v>
      </c>
      <c r="G260" s="3">
        <v>15000</v>
      </c>
      <c r="H260" s="3">
        <v>20600</v>
      </c>
      <c r="I260" s="3">
        <v>150</v>
      </c>
      <c r="J260" t="s">
        <v>541</v>
      </c>
    </row>
    <row r="261" spans="4:10" x14ac:dyDescent="0.25">
      <c r="D261" s="3" t="s">
        <v>68</v>
      </c>
      <c r="E261" s="3">
        <v>1500</v>
      </c>
      <c r="F261" s="3">
        <v>63</v>
      </c>
      <c r="G261" s="3">
        <v>15000</v>
      </c>
      <c r="H261" s="3">
        <v>21100</v>
      </c>
      <c r="I261" s="3">
        <v>150</v>
      </c>
      <c r="J261" t="s">
        <v>542</v>
      </c>
    </row>
    <row r="262" spans="4:10" x14ac:dyDescent="0.25">
      <c r="D262" s="3" t="s">
        <v>68</v>
      </c>
      <c r="E262" s="3">
        <v>1500</v>
      </c>
      <c r="F262" s="3">
        <v>75</v>
      </c>
      <c r="G262" s="3">
        <v>15000</v>
      </c>
      <c r="H262" s="3">
        <v>21500</v>
      </c>
      <c r="I262" s="3">
        <v>150</v>
      </c>
      <c r="J262" t="s">
        <v>543</v>
      </c>
    </row>
    <row r="263" spans="4:10" x14ac:dyDescent="0.25">
      <c r="D263" s="3" t="s">
        <v>68</v>
      </c>
      <c r="E263" s="3">
        <v>1500</v>
      </c>
      <c r="F263" s="3">
        <v>80</v>
      </c>
      <c r="G263" s="3">
        <v>15000</v>
      </c>
      <c r="H263" s="3">
        <v>21600</v>
      </c>
      <c r="I263" s="3">
        <v>150</v>
      </c>
      <c r="J263" t="s">
        <v>544</v>
      </c>
    </row>
    <row r="264" spans="4:10" x14ac:dyDescent="0.25">
      <c r="D264" s="3" t="s">
        <v>68</v>
      </c>
      <c r="E264" s="3">
        <v>1500</v>
      </c>
      <c r="F264" s="3">
        <v>100</v>
      </c>
      <c r="G264" s="3">
        <v>15000</v>
      </c>
      <c r="H264" s="3">
        <v>21700</v>
      </c>
      <c r="I264" s="3">
        <v>150</v>
      </c>
      <c r="J264" t="s">
        <v>545</v>
      </c>
    </row>
    <row r="265" spans="4:10" x14ac:dyDescent="0.25">
      <c r="D265" s="3" t="s">
        <v>68</v>
      </c>
      <c r="E265" s="3">
        <v>1500</v>
      </c>
      <c r="F265" s="3">
        <v>125</v>
      </c>
      <c r="G265" s="3">
        <v>15000</v>
      </c>
      <c r="H265" s="3">
        <v>22400</v>
      </c>
      <c r="I265" s="3">
        <v>150</v>
      </c>
      <c r="J265" t="s">
        <v>546</v>
      </c>
    </row>
    <row r="266" spans="4:10" x14ac:dyDescent="0.25">
      <c r="D266" s="3" t="s">
        <v>68</v>
      </c>
      <c r="E266" s="3">
        <v>1500</v>
      </c>
      <c r="F266" s="3">
        <v>150</v>
      </c>
      <c r="G266" s="3">
        <v>15000</v>
      </c>
      <c r="H266" s="3">
        <v>22500</v>
      </c>
      <c r="I266" s="3">
        <v>150</v>
      </c>
      <c r="J266" t="s">
        <v>547</v>
      </c>
    </row>
    <row r="267" spans="4:10" x14ac:dyDescent="0.25">
      <c r="D267" s="3" t="s">
        <v>68</v>
      </c>
      <c r="E267" s="3">
        <v>1500</v>
      </c>
      <c r="F267" s="3">
        <v>160</v>
      </c>
      <c r="G267" s="3">
        <v>15000</v>
      </c>
      <c r="H267" s="3">
        <v>22600</v>
      </c>
      <c r="I267" s="3">
        <v>150</v>
      </c>
      <c r="J267" t="s">
        <v>548</v>
      </c>
    </row>
    <row r="268" spans="4:10" x14ac:dyDescent="0.25">
      <c r="D268" s="3" t="s">
        <v>68</v>
      </c>
      <c r="E268" s="3">
        <v>1500</v>
      </c>
      <c r="F268" s="3">
        <v>175</v>
      </c>
      <c r="G268" s="3">
        <v>15000</v>
      </c>
      <c r="H268" s="3">
        <v>22600</v>
      </c>
      <c r="I268" s="3">
        <v>150</v>
      </c>
      <c r="J268" t="s">
        <v>549</v>
      </c>
    </row>
    <row r="269" spans="4:10" x14ac:dyDescent="0.25">
      <c r="D269" s="3" t="s">
        <v>68</v>
      </c>
      <c r="E269" s="3">
        <v>1500</v>
      </c>
      <c r="F269" s="3">
        <v>200</v>
      </c>
      <c r="G269" s="3">
        <v>15000</v>
      </c>
      <c r="H269" s="3">
        <v>22800</v>
      </c>
      <c r="I269" s="3">
        <v>150</v>
      </c>
      <c r="J269" t="s">
        <v>550</v>
      </c>
    </row>
    <row r="270" spans="4:10" x14ac:dyDescent="0.25">
      <c r="D270" s="3" t="s">
        <v>68</v>
      </c>
      <c r="E270" s="3">
        <v>1500</v>
      </c>
      <c r="F270" s="3">
        <v>250</v>
      </c>
      <c r="G270" s="3">
        <v>15000</v>
      </c>
      <c r="H270" s="3">
        <v>23000</v>
      </c>
      <c r="I270" s="3">
        <v>150</v>
      </c>
      <c r="J270" t="s">
        <v>551</v>
      </c>
    </row>
    <row r="271" spans="4:10" x14ac:dyDescent="0.25">
      <c r="D271" s="3" t="s">
        <v>68</v>
      </c>
      <c r="E271" s="3">
        <v>1500</v>
      </c>
      <c r="F271" s="3">
        <v>300</v>
      </c>
      <c r="G271" s="3">
        <v>15000</v>
      </c>
      <c r="H271" s="3">
        <v>23200</v>
      </c>
      <c r="I271" s="3">
        <v>150</v>
      </c>
      <c r="J271" t="s">
        <v>552</v>
      </c>
    </row>
    <row r="272" spans="4:10" x14ac:dyDescent="0.25">
      <c r="D272" s="3" t="s">
        <v>68</v>
      </c>
      <c r="E272" s="3">
        <v>2400</v>
      </c>
      <c r="F272" s="3">
        <v>25</v>
      </c>
      <c r="G272" s="3">
        <v>24000</v>
      </c>
      <c r="H272" s="3">
        <v>37100</v>
      </c>
      <c r="I272" s="3">
        <v>150</v>
      </c>
      <c r="J272" t="s">
        <v>389</v>
      </c>
    </row>
    <row r="273" spans="4:10" x14ac:dyDescent="0.25">
      <c r="D273" s="3" t="s">
        <v>68</v>
      </c>
      <c r="E273" s="3">
        <v>2400</v>
      </c>
      <c r="F273" s="3">
        <v>38</v>
      </c>
      <c r="G273" s="3">
        <v>24000</v>
      </c>
      <c r="H273" s="3">
        <v>37600</v>
      </c>
      <c r="I273" s="3">
        <v>150</v>
      </c>
      <c r="J273" t="s">
        <v>553</v>
      </c>
    </row>
    <row r="274" spans="4:10" x14ac:dyDescent="0.25">
      <c r="D274" s="3" t="s">
        <v>68</v>
      </c>
      <c r="E274" s="3">
        <v>2400</v>
      </c>
      <c r="F274" s="3">
        <v>50</v>
      </c>
      <c r="G274" s="3">
        <v>24000</v>
      </c>
      <c r="H274" s="3">
        <v>37900</v>
      </c>
      <c r="I274" s="3">
        <v>150</v>
      </c>
      <c r="J274" t="s">
        <v>390</v>
      </c>
    </row>
    <row r="275" spans="4:10" x14ac:dyDescent="0.25">
      <c r="D275" s="3" t="s">
        <v>68</v>
      </c>
      <c r="E275" s="3">
        <v>2400</v>
      </c>
      <c r="F275" s="3">
        <v>63</v>
      </c>
      <c r="G275" s="3">
        <v>24000</v>
      </c>
      <c r="H275" s="3">
        <v>38100</v>
      </c>
      <c r="I275" s="3">
        <v>150</v>
      </c>
      <c r="J275" t="s">
        <v>554</v>
      </c>
    </row>
    <row r="276" spans="4:10" x14ac:dyDescent="0.25">
      <c r="D276" s="3" t="s">
        <v>68</v>
      </c>
      <c r="E276" s="3">
        <v>2400</v>
      </c>
      <c r="F276" s="3">
        <v>75</v>
      </c>
      <c r="G276" s="3">
        <v>24000</v>
      </c>
      <c r="H276" s="3">
        <v>38300</v>
      </c>
      <c r="I276" s="3">
        <v>150</v>
      </c>
      <c r="J276" t="s">
        <v>555</v>
      </c>
    </row>
    <row r="277" spans="4:10" x14ac:dyDescent="0.25">
      <c r="D277" s="3" t="s">
        <v>68</v>
      </c>
      <c r="E277" s="3">
        <v>2400</v>
      </c>
      <c r="F277" s="3">
        <v>80</v>
      </c>
      <c r="G277" s="3">
        <v>24000</v>
      </c>
      <c r="H277" s="3">
        <v>38300</v>
      </c>
      <c r="I277" s="3">
        <v>150</v>
      </c>
      <c r="J277" t="s">
        <v>391</v>
      </c>
    </row>
    <row r="278" spans="4:10" x14ac:dyDescent="0.25">
      <c r="D278" s="3" t="s">
        <v>68</v>
      </c>
      <c r="E278" s="3">
        <v>2400</v>
      </c>
      <c r="F278" s="3">
        <v>100</v>
      </c>
      <c r="G278" s="3">
        <v>24000</v>
      </c>
      <c r="H278" s="3">
        <v>38500</v>
      </c>
      <c r="I278" s="3">
        <v>150</v>
      </c>
      <c r="J278" t="s">
        <v>145</v>
      </c>
    </row>
    <row r="279" spans="4:10" x14ac:dyDescent="0.25">
      <c r="D279" s="3" t="s">
        <v>68</v>
      </c>
      <c r="E279" s="3">
        <v>2400</v>
      </c>
      <c r="F279" s="3">
        <v>125</v>
      </c>
      <c r="G279" s="3">
        <v>24000</v>
      </c>
      <c r="H279" s="3">
        <v>38700</v>
      </c>
      <c r="I279" s="3">
        <v>150</v>
      </c>
      <c r="J279" t="s">
        <v>146</v>
      </c>
    </row>
    <row r="280" spans="4:10" x14ac:dyDescent="0.25">
      <c r="D280" s="3" t="s">
        <v>68</v>
      </c>
      <c r="E280" s="3">
        <v>2400</v>
      </c>
      <c r="F280" s="3">
        <v>150</v>
      </c>
      <c r="G280" s="3">
        <v>24000</v>
      </c>
      <c r="H280" s="3">
        <v>38800</v>
      </c>
      <c r="I280" s="3">
        <v>150</v>
      </c>
      <c r="J280" t="s">
        <v>556</v>
      </c>
    </row>
    <row r="281" spans="4:10" x14ac:dyDescent="0.25">
      <c r="D281" s="3" t="s">
        <v>68</v>
      </c>
      <c r="E281" s="3">
        <v>2400</v>
      </c>
      <c r="F281" s="3">
        <v>160</v>
      </c>
      <c r="G281" s="3">
        <v>24000</v>
      </c>
      <c r="H281" s="3">
        <v>38800</v>
      </c>
      <c r="I281" s="3">
        <v>150</v>
      </c>
      <c r="J281" t="s">
        <v>147</v>
      </c>
    </row>
    <row r="282" spans="4:10" x14ac:dyDescent="0.25">
      <c r="D282" s="3" t="s">
        <v>68</v>
      </c>
      <c r="E282" s="3">
        <v>2400</v>
      </c>
      <c r="F282" s="3">
        <v>175</v>
      </c>
      <c r="G282" s="3">
        <v>24000</v>
      </c>
      <c r="H282" s="3">
        <v>38900</v>
      </c>
      <c r="I282" s="3">
        <v>150</v>
      </c>
      <c r="J282" t="s">
        <v>557</v>
      </c>
    </row>
    <row r="283" spans="4:10" x14ac:dyDescent="0.25">
      <c r="D283" s="3" t="s">
        <v>68</v>
      </c>
      <c r="E283" s="3">
        <v>2400</v>
      </c>
      <c r="F283" s="3">
        <v>200</v>
      </c>
      <c r="G283" s="3">
        <v>24000</v>
      </c>
      <c r="H283" s="3">
        <v>38900</v>
      </c>
      <c r="I283" s="3">
        <v>150</v>
      </c>
      <c r="J283" t="s">
        <v>148</v>
      </c>
    </row>
    <row r="284" spans="4:10" x14ac:dyDescent="0.25">
      <c r="D284" s="3" t="s">
        <v>68</v>
      </c>
      <c r="E284" s="3">
        <v>2400</v>
      </c>
      <c r="F284" s="3">
        <v>250</v>
      </c>
      <c r="G284" s="3">
        <v>24000</v>
      </c>
      <c r="H284" s="3">
        <v>39000</v>
      </c>
      <c r="I284" s="3">
        <v>150</v>
      </c>
      <c r="J284" t="s">
        <v>149</v>
      </c>
    </row>
    <row r="285" spans="4:10" x14ac:dyDescent="0.25">
      <c r="D285" s="3" t="s">
        <v>68</v>
      </c>
      <c r="E285" s="3">
        <v>2400</v>
      </c>
      <c r="F285" s="3">
        <v>300</v>
      </c>
      <c r="G285" s="3">
        <v>24000</v>
      </c>
      <c r="H285" s="3">
        <v>39100</v>
      </c>
      <c r="I285" s="3">
        <v>150</v>
      </c>
      <c r="J285" t="s">
        <v>150</v>
      </c>
    </row>
    <row r="286" spans="4:10" x14ac:dyDescent="0.25">
      <c r="D286" s="3" t="s">
        <v>68</v>
      </c>
      <c r="E286" s="3">
        <v>4200</v>
      </c>
      <c r="F286" s="3">
        <v>25</v>
      </c>
      <c r="G286" s="3">
        <v>42000</v>
      </c>
      <c r="H286" s="3">
        <v>52100</v>
      </c>
      <c r="I286" s="3">
        <v>150</v>
      </c>
      <c r="J286" t="s">
        <v>392</v>
      </c>
    </row>
    <row r="287" spans="4:10" x14ac:dyDescent="0.25">
      <c r="D287" s="3" t="s">
        <v>68</v>
      </c>
      <c r="E287" s="3">
        <v>4200</v>
      </c>
      <c r="F287" s="3">
        <v>38</v>
      </c>
      <c r="G287" s="3">
        <v>42000</v>
      </c>
      <c r="H287" s="3">
        <v>55100</v>
      </c>
      <c r="I287" s="3">
        <v>150</v>
      </c>
      <c r="J287" t="s">
        <v>558</v>
      </c>
    </row>
    <row r="288" spans="4:10" x14ac:dyDescent="0.25">
      <c r="D288" s="3" t="s">
        <v>68</v>
      </c>
      <c r="E288" s="3">
        <v>4200</v>
      </c>
      <c r="F288" s="3">
        <v>50</v>
      </c>
      <c r="G288" s="3">
        <v>42000</v>
      </c>
      <c r="H288" s="3">
        <v>57200</v>
      </c>
      <c r="I288" s="3">
        <v>150</v>
      </c>
      <c r="J288" t="s">
        <v>393</v>
      </c>
    </row>
    <row r="289" spans="4:10" x14ac:dyDescent="0.25">
      <c r="D289" s="3" t="s">
        <v>68</v>
      </c>
      <c r="E289" s="3">
        <v>4200</v>
      </c>
      <c r="F289" s="3">
        <v>63</v>
      </c>
      <c r="G289" s="3">
        <v>42000</v>
      </c>
      <c r="H289" s="3">
        <v>59000</v>
      </c>
      <c r="I289" s="3">
        <v>150</v>
      </c>
      <c r="J289" t="s">
        <v>559</v>
      </c>
    </row>
    <row r="290" spans="4:10" x14ac:dyDescent="0.25">
      <c r="D290" s="3" t="s">
        <v>68</v>
      </c>
      <c r="E290" s="3">
        <v>4200</v>
      </c>
      <c r="F290" s="3">
        <v>75</v>
      </c>
      <c r="G290" s="3">
        <v>42000</v>
      </c>
      <c r="H290" s="3">
        <v>60300</v>
      </c>
      <c r="I290" s="3">
        <v>150</v>
      </c>
      <c r="J290" t="s">
        <v>560</v>
      </c>
    </row>
    <row r="291" spans="4:10" x14ac:dyDescent="0.25">
      <c r="D291" s="3" t="s">
        <v>68</v>
      </c>
      <c r="E291" s="3">
        <v>4200</v>
      </c>
      <c r="F291" s="3">
        <v>80</v>
      </c>
      <c r="G291" s="3">
        <v>42000</v>
      </c>
      <c r="H291" s="3">
        <v>60800</v>
      </c>
      <c r="I291" s="3">
        <v>150</v>
      </c>
      <c r="J291" t="s">
        <v>394</v>
      </c>
    </row>
    <row r="292" spans="4:10" x14ac:dyDescent="0.25">
      <c r="D292" s="3" t="s">
        <v>68</v>
      </c>
      <c r="E292" s="3">
        <v>4200</v>
      </c>
      <c r="F292" s="3">
        <v>100</v>
      </c>
      <c r="G292" s="3">
        <v>42000</v>
      </c>
      <c r="H292" s="3">
        <v>62500</v>
      </c>
      <c r="I292" s="3">
        <v>150</v>
      </c>
      <c r="J292" t="s">
        <v>151</v>
      </c>
    </row>
    <row r="293" spans="4:10" x14ac:dyDescent="0.25">
      <c r="D293" s="3" t="s">
        <v>68</v>
      </c>
      <c r="E293" s="3">
        <v>4200</v>
      </c>
      <c r="F293" s="3">
        <v>125</v>
      </c>
      <c r="G293" s="3">
        <v>42000</v>
      </c>
      <c r="H293" s="3">
        <v>64000</v>
      </c>
      <c r="I293" s="3">
        <v>150</v>
      </c>
      <c r="J293" t="s">
        <v>152</v>
      </c>
    </row>
    <row r="294" spans="4:10" x14ac:dyDescent="0.25">
      <c r="D294" s="3" t="s">
        <v>68</v>
      </c>
      <c r="E294" s="3">
        <v>4200</v>
      </c>
      <c r="F294" s="3">
        <v>150</v>
      </c>
      <c r="G294" s="3">
        <v>42000</v>
      </c>
      <c r="H294" s="3">
        <v>65100</v>
      </c>
      <c r="I294" s="3">
        <v>150</v>
      </c>
      <c r="J294" t="s">
        <v>561</v>
      </c>
    </row>
    <row r="295" spans="4:10" x14ac:dyDescent="0.25">
      <c r="D295" s="3" t="s">
        <v>68</v>
      </c>
      <c r="E295" s="3">
        <v>4200</v>
      </c>
      <c r="F295" s="3">
        <v>160</v>
      </c>
      <c r="G295" s="3">
        <v>42000</v>
      </c>
      <c r="H295" s="3">
        <v>65500</v>
      </c>
      <c r="I295" s="3">
        <v>150</v>
      </c>
      <c r="J295" t="s">
        <v>153</v>
      </c>
    </row>
    <row r="296" spans="4:10" x14ac:dyDescent="0.25">
      <c r="D296" s="3" t="s">
        <v>68</v>
      </c>
      <c r="E296" s="3">
        <v>4200</v>
      </c>
      <c r="F296" s="3">
        <v>175</v>
      </c>
      <c r="G296" s="3">
        <v>42000</v>
      </c>
      <c r="H296" s="3">
        <v>66000</v>
      </c>
      <c r="I296" s="3">
        <v>150</v>
      </c>
      <c r="J296" t="s">
        <v>562</v>
      </c>
    </row>
    <row r="297" spans="4:10" x14ac:dyDescent="0.25">
      <c r="D297" s="3" t="s">
        <v>68</v>
      </c>
      <c r="E297" s="3">
        <v>4200</v>
      </c>
      <c r="F297" s="3">
        <v>200</v>
      </c>
      <c r="G297" s="3">
        <v>42000</v>
      </c>
      <c r="H297" s="3">
        <v>66800</v>
      </c>
      <c r="I297" s="3">
        <v>150</v>
      </c>
      <c r="J297" t="s">
        <v>154</v>
      </c>
    </row>
    <row r="298" spans="4:10" x14ac:dyDescent="0.25">
      <c r="D298" s="3" t="s">
        <v>68</v>
      </c>
      <c r="E298" s="3">
        <v>4200</v>
      </c>
      <c r="F298" s="3">
        <v>250</v>
      </c>
      <c r="G298" s="3">
        <v>42000</v>
      </c>
      <c r="H298" s="3">
        <v>67900</v>
      </c>
      <c r="I298" s="3">
        <v>150</v>
      </c>
      <c r="J298" t="s">
        <v>155</v>
      </c>
    </row>
    <row r="299" spans="4:10" x14ac:dyDescent="0.25">
      <c r="D299" s="3" t="s">
        <v>68</v>
      </c>
      <c r="E299" s="3">
        <v>4200</v>
      </c>
      <c r="F299" s="3">
        <v>300</v>
      </c>
      <c r="G299" s="3">
        <v>42000</v>
      </c>
      <c r="H299" s="3">
        <v>68700</v>
      </c>
      <c r="I299" s="3">
        <v>150</v>
      </c>
      <c r="J299" t="s">
        <v>156</v>
      </c>
    </row>
    <row r="300" spans="4:10" x14ac:dyDescent="0.25">
      <c r="D300" s="3" t="s">
        <v>68</v>
      </c>
      <c r="E300" s="3">
        <v>6600</v>
      </c>
      <c r="F300" s="3">
        <v>25</v>
      </c>
      <c r="G300" s="3">
        <v>66300</v>
      </c>
      <c r="H300" s="3">
        <v>79500</v>
      </c>
      <c r="I300" s="3">
        <v>150</v>
      </c>
      <c r="J300" t="s">
        <v>395</v>
      </c>
    </row>
    <row r="301" spans="4:10" x14ac:dyDescent="0.25">
      <c r="D301" s="3" t="s">
        <v>68</v>
      </c>
      <c r="E301" s="3">
        <v>6600</v>
      </c>
      <c r="F301" s="3">
        <v>38</v>
      </c>
      <c r="G301" s="3">
        <v>66300</v>
      </c>
      <c r="H301" s="3">
        <v>83900</v>
      </c>
      <c r="I301" s="3">
        <v>150</v>
      </c>
      <c r="J301" t="s">
        <v>563</v>
      </c>
    </row>
    <row r="302" spans="4:10" x14ac:dyDescent="0.25">
      <c r="D302" s="3" t="s">
        <v>68</v>
      </c>
      <c r="E302" s="3">
        <v>6600</v>
      </c>
      <c r="F302" s="3">
        <v>50</v>
      </c>
      <c r="G302" s="3">
        <v>66300</v>
      </c>
      <c r="H302" s="3">
        <v>87000</v>
      </c>
      <c r="I302" s="3">
        <v>150</v>
      </c>
      <c r="J302" t="s">
        <v>396</v>
      </c>
    </row>
    <row r="303" spans="4:10" x14ac:dyDescent="0.25">
      <c r="D303" s="3" t="s">
        <v>68</v>
      </c>
      <c r="E303" s="3">
        <v>6600</v>
      </c>
      <c r="F303" s="3">
        <v>63</v>
      </c>
      <c r="G303" s="3">
        <v>66300</v>
      </c>
      <c r="H303" s="3">
        <v>89700</v>
      </c>
      <c r="I303" s="3">
        <v>150</v>
      </c>
      <c r="J303" t="s">
        <v>564</v>
      </c>
    </row>
    <row r="304" spans="4:10" x14ac:dyDescent="0.25">
      <c r="D304" s="3" t="s">
        <v>68</v>
      </c>
      <c r="E304" s="3">
        <v>6600</v>
      </c>
      <c r="F304" s="3">
        <v>75</v>
      </c>
      <c r="G304" s="3">
        <v>66300</v>
      </c>
      <c r="H304" s="3">
        <v>91800</v>
      </c>
      <c r="I304" s="3">
        <v>150</v>
      </c>
      <c r="J304" t="s">
        <v>565</v>
      </c>
    </row>
    <row r="305" spans="4:10" x14ac:dyDescent="0.25">
      <c r="D305" s="3" t="s">
        <v>68</v>
      </c>
      <c r="E305" s="3">
        <v>6600</v>
      </c>
      <c r="F305" s="3">
        <v>80</v>
      </c>
      <c r="G305" s="3">
        <v>66300</v>
      </c>
      <c r="H305" s="3">
        <v>92600</v>
      </c>
      <c r="I305" s="3">
        <v>150</v>
      </c>
      <c r="J305" t="s">
        <v>397</v>
      </c>
    </row>
    <row r="306" spans="4:10" x14ac:dyDescent="0.25">
      <c r="D306" s="3" t="s">
        <v>68</v>
      </c>
      <c r="E306" s="3">
        <v>6600</v>
      </c>
      <c r="F306" s="3">
        <v>100</v>
      </c>
      <c r="G306" s="3">
        <v>66300</v>
      </c>
      <c r="H306" s="3">
        <v>95100</v>
      </c>
      <c r="I306" s="3">
        <v>150</v>
      </c>
      <c r="J306" t="s">
        <v>157</v>
      </c>
    </row>
    <row r="307" spans="4:10" x14ac:dyDescent="0.25">
      <c r="D307" s="3" t="s">
        <v>68</v>
      </c>
      <c r="E307" s="3">
        <v>6600</v>
      </c>
      <c r="F307" s="3">
        <v>125</v>
      </c>
      <c r="G307" s="3">
        <v>66300</v>
      </c>
      <c r="H307" s="3">
        <v>97600</v>
      </c>
      <c r="I307" s="3">
        <v>150</v>
      </c>
      <c r="J307" t="s">
        <v>158</v>
      </c>
    </row>
    <row r="308" spans="4:10" x14ac:dyDescent="0.25">
      <c r="D308" s="3" t="s">
        <v>68</v>
      </c>
      <c r="E308" s="3">
        <v>6600</v>
      </c>
      <c r="F308" s="3">
        <v>150</v>
      </c>
      <c r="G308" s="3">
        <v>66300</v>
      </c>
      <c r="H308" s="3">
        <v>99500</v>
      </c>
      <c r="I308" s="3">
        <v>150</v>
      </c>
      <c r="J308" t="s">
        <v>566</v>
      </c>
    </row>
    <row r="309" spans="4:10" x14ac:dyDescent="0.25">
      <c r="D309" s="3" t="s">
        <v>68</v>
      </c>
      <c r="E309" s="3">
        <v>6600</v>
      </c>
      <c r="F309" s="3">
        <v>160</v>
      </c>
      <c r="G309" s="3">
        <v>66300</v>
      </c>
      <c r="H309" s="3">
        <v>100100</v>
      </c>
      <c r="I309" s="3">
        <v>150</v>
      </c>
      <c r="J309" t="s">
        <v>159</v>
      </c>
    </row>
    <row r="310" spans="4:10" x14ac:dyDescent="0.25">
      <c r="D310" s="3" t="s">
        <v>68</v>
      </c>
      <c r="E310" s="3">
        <v>6600</v>
      </c>
      <c r="F310" s="3">
        <v>175</v>
      </c>
      <c r="G310" s="3">
        <v>66300</v>
      </c>
      <c r="H310" s="3">
        <v>101000</v>
      </c>
      <c r="I310" s="3">
        <v>150</v>
      </c>
      <c r="J310" t="s">
        <v>567</v>
      </c>
    </row>
    <row r="311" spans="4:10" x14ac:dyDescent="0.25">
      <c r="D311" s="3" t="s">
        <v>68</v>
      </c>
      <c r="E311" s="3">
        <v>6600</v>
      </c>
      <c r="F311" s="3">
        <v>200</v>
      </c>
      <c r="G311" s="3">
        <v>66300</v>
      </c>
      <c r="H311" s="3">
        <v>102200</v>
      </c>
      <c r="I311" s="3">
        <v>150</v>
      </c>
      <c r="J311" t="s">
        <v>160</v>
      </c>
    </row>
    <row r="312" spans="4:10" x14ac:dyDescent="0.25">
      <c r="D312" s="3" t="s">
        <v>68</v>
      </c>
      <c r="E312" s="3">
        <v>6600</v>
      </c>
      <c r="F312" s="3">
        <v>250</v>
      </c>
      <c r="G312" s="3">
        <v>66300</v>
      </c>
      <c r="H312" s="3">
        <v>104000</v>
      </c>
      <c r="I312" s="3">
        <v>150</v>
      </c>
      <c r="J312" t="s">
        <v>161</v>
      </c>
    </row>
    <row r="313" spans="4:10" x14ac:dyDescent="0.25">
      <c r="D313" s="3" t="s">
        <v>68</v>
      </c>
      <c r="E313" s="3">
        <v>6600</v>
      </c>
      <c r="F313" s="3">
        <v>300</v>
      </c>
      <c r="G313" s="3">
        <v>66300</v>
      </c>
      <c r="H313" s="3">
        <v>105300</v>
      </c>
      <c r="I313" s="3">
        <v>150</v>
      </c>
      <c r="J313" t="s">
        <v>162</v>
      </c>
    </row>
    <row r="314" spans="4:10" x14ac:dyDescent="0.25">
      <c r="D314" s="3" t="s">
        <v>68</v>
      </c>
      <c r="E314" s="3">
        <v>9500</v>
      </c>
      <c r="F314" s="3">
        <v>25</v>
      </c>
      <c r="G314" s="3">
        <v>95000</v>
      </c>
      <c r="H314" s="3">
        <v>113200</v>
      </c>
      <c r="I314" s="3">
        <v>150</v>
      </c>
      <c r="J314" t="s">
        <v>398</v>
      </c>
    </row>
    <row r="315" spans="4:10" x14ac:dyDescent="0.25">
      <c r="D315" s="3" t="s">
        <v>68</v>
      </c>
      <c r="E315" s="3">
        <v>9500</v>
      </c>
      <c r="F315" s="3">
        <v>38</v>
      </c>
      <c r="G315" s="3">
        <v>95000</v>
      </c>
      <c r="H315" s="3">
        <v>119000</v>
      </c>
      <c r="I315" s="3">
        <v>150</v>
      </c>
      <c r="J315" t="s">
        <v>568</v>
      </c>
    </row>
    <row r="316" spans="4:10" x14ac:dyDescent="0.25">
      <c r="D316" s="3" t="s">
        <v>68</v>
      </c>
      <c r="E316" s="3">
        <v>9500</v>
      </c>
      <c r="F316" s="3">
        <v>50</v>
      </c>
      <c r="G316" s="3">
        <v>95000</v>
      </c>
      <c r="H316" s="3">
        <v>123300</v>
      </c>
      <c r="I316" s="3">
        <v>150</v>
      </c>
      <c r="J316" t="s">
        <v>399</v>
      </c>
    </row>
    <row r="317" spans="4:10" x14ac:dyDescent="0.25">
      <c r="D317" s="3" t="s">
        <v>68</v>
      </c>
      <c r="E317" s="3">
        <v>9500</v>
      </c>
      <c r="F317" s="3">
        <v>63</v>
      </c>
      <c r="G317" s="3">
        <v>95000</v>
      </c>
      <c r="H317" s="3">
        <v>127000</v>
      </c>
      <c r="I317" s="3">
        <v>150</v>
      </c>
      <c r="J317" t="s">
        <v>569</v>
      </c>
    </row>
    <row r="318" spans="4:10" x14ac:dyDescent="0.25">
      <c r="D318" s="3" t="s">
        <v>68</v>
      </c>
      <c r="E318" s="3">
        <v>9500</v>
      </c>
      <c r="F318" s="3">
        <v>75</v>
      </c>
      <c r="G318" s="3">
        <v>95000</v>
      </c>
      <c r="H318" s="3">
        <v>129700</v>
      </c>
      <c r="I318" s="3">
        <v>150</v>
      </c>
      <c r="J318" t="s">
        <v>570</v>
      </c>
    </row>
    <row r="319" spans="4:10" x14ac:dyDescent="0.25">
      <c r="D319" s="3" t="s">
        <v>68</v>
      </c>
      <c r="E319" s="3">
        <v>9500</v>
      </c>
      <c r="F319" s="3">
        <v>80</v>
      </c>
      <c r="G319" s="3">
        <v>95000</v>
      </c>
      <c r="H319" s="3">
        <v>130800</v>
      </c>
      <c r="I319" s="3">
        <v>150</v>
      </c>
      <c r="J319" t="s">
        <v>400</v>
      </c>
    </row>
    <row r="320" spans="4:10" x14ac:dyDescent="0.25">
      <c r="D320" s="3" t="s">
        <v>68</v>
      </c>
      <c r="E320" s="3">
        <v>9500</v>
      </c>
      <c r="F320" s="3">
        <v>100</v>
      </c>
      <c r="G320" s="3">
        <v>95000</v>
      </c>
      <c r="H320" s="3">
        <v>134300</v>
      </c>
      <c r="I320" s="3">
        <v>150</v>
      </c>
      <c r="J320" t="s">
        <v>163</v>
      </c>
    </row>
    <row r="321" spans="4:10" x14ac:dyDescent="0.25">
      <c r="D321" s="3" t="s">
        <v>68</v>
      </c>
      <c r="E321" s="3">
        <v>9500</v>
      </c>
      <c r="F321" s="3">
        <v>125</v>
      </c>
      <c r="G321" s="3">
        <v>95000</v>
      </c>
      <c r="H321" s="3">
        <v>137600</v>
      </c>
      <c r="I321" s="3">
        <v>150</v>
      </c>
      <c r="J321" t="s">
        <v>164</v>
      </c>
    </row>
    <row r="322" spans="4:10" x14ac:dyDescent="0.25">
      <c r="D322" s="3" t="s">
        <v>68</v>
      </c>
      <c r="E322" s="3">
        <v>9500</v>
      </c>
      <c r="F322" s="3">
        <v>150</v>
      </c>
      <c r="G322" s="3">
        <v>95000</v>
      </c>
      <c r="H322" s="3">
        <v>140200</v>
      </c>
      <c r="I322" s="3">
        <v>150</v>
      </c>
      <c r="J322" t="s">
        <v>571</v>
      </c>
    </row>
    <row r="323" spans="4:10" x14ac:dyDescent="0.25">
      <c r="D323" s="3" t="s">
        <v>68</v>
      </c>
      <c r="E323" s="3">
        <v>9500</v>
      </c>
      <c r="F323" s="3">
        <v>160</v>
      </c>
      <c r="G323" s="3">
        <v>95000</v>
      </c>
      <c r="H323" s="3">
        <v>141000</v>
      </c>
      <c r="I323" s="3">
        <v>150</v>
      </c>
      <c r="J323" t="s">
        <v>165</v>
      </c>
    </row>
    <row r="324" spans="4:10" x14ac:dyDescent="0.25">
      <c r="D324" s="3" t="s">
        <v>68</v>
      </c>
      <c r="E324" s="3">
        <v>9500</v>
      </c>
      <c r="F324" s="3">
        <v>175</v>
      </c>
      <c r="G324" s="3">
        <v>95000</v>
      </c>
      <c r="H324" s="3">
        <v>142200</v>
      </c>
      <c r="I324" s="3">
        <v>150</v>
      </c>
      <c r="J324" t="s">
        <v>572</v>
      </c>
    </row>
    <row r="325" spans="4:10" x14ac:dyDescent="0.25">
      <c r="D325" s="3" t="s">
        <v>68</v>
      </c>
      <c r="E325" s="3">
        <v>9500</v>
      </c>
      <c r="F325" s="3">
        <v>200</v>
      </c>
      <c r="G325" s="3">
        <v>95000</v>
      </c>
      <c r="H325" s="3">
        <v>143800</v>
      </c>
      <c r="I325" s="3">
        <v>150</v>
      </c>
      <c r="J325" t="s">
        <v>166</v>
      </c>
    </row>
    <row r="326" spans="4:10" x14ac:dyDescent="0.25">
      <c r="D326" s="3" t="s">
        <v>68</v>
      </c>
      <c r="E326" s="3">
        <v>9500</v>
      </c>
      <c r="F326" s="3">
        <v>250</v>
      </c>
      <c r="G326" s="3">
        <v>95000</v>
      </c>
      <c r="H326" s="3">
        <v>146300</v>
      </c>
      <c r="I326" s="3">
        <v>150</v>
      </c>
      <c r="J326" t="s">
        <v>167</v>
      </c>
    </row>
    <row r="327" spans="4:10" x14ac:dyDescent="0.25">
      <c r="D327" s="3" t="s">
        <v>68</v>
      </c>
      <c r="E327" s="3">
        <v>9500</v>
      </c>
      <c r="F327" s="3">
        <v>300</v>
      </c>
      <c r="G327" s="3">
        <v>95000</v>
      </c>
      <c r="H327" s="3">
        <v>148200</v>
      </c>
      <c r="I327" s="3">
        <v>150</v>
      </c>
      <c r="J327" t="s">
        <v>168</v>
      </c>
    </row>
    <row r="328" spans="4:10" x14ac:dyDescent="0.25">
      <c r="D328" s="3" t="s">
        <v>68</v>
      </c>
      <c r="E328" s="3">
        <v>20000</v>
      </c>
      <c r="F328" s="3">
        <v>25</v>
      </c>
      <c r="G328" s="3">
        <v>200000</v>
      </c>
      <c r="H328" s="3">
        <v>242000</v>
      </c>
      <c r="I328" s="3">
        <v>150</v>
      </c>
      <c r="J328" t="s">
        <v>401</v>
      </c>
    </row>
    <row r="329" spans="4:10" x14ac:dyDescent="0.25">
      <c r="D329" s="3" t="s">
        <v>68</v>
      </c>
      <c r="E329" s="3">
        <v>20000</v>
      </c>
      <c r="F329" s="3">
        <v>38</v>
      </c>
      <c r="G329" s="3">
        <v>200000</v>
      </c>
      <c r="H329" s="3">
        <v>256400</v>
      </c>
      <c r="I329" s="3">
        <v>150</v>
      </c>
      <c r="J329" t="s">
        <v>573</v>
      </c>
    </row>
    <row r="330" spans="4:10" x14ac:dyDescent="0.25">
      <c r="D330" s="3" t="s">
        <v>68</v>
      </c>
      <c r="E330" s="3">
        <v>20000</v>
      </c>
      <c r="F330" s="3">
        <v>50</v>
      </c>
      <c r="G330" s="3">
        <v>200000</v>
      </c>
      <c r="H330" s="3">
        <v>266800</v>
      </c>
      <c r="I330" s="3">
        <v>150</v>
      </c>
      <c r="J330" t="s">
        <v>402</v>
      </c>
    </row>
    <row r="331" spans="4:10" x14ac:dyDescent="0.25">
      <c r="D331" s="3" t="s">
        <v>68</v>
      </c>
      <c r="E331" s="3">
        <v>20000</v>
      </c>
      <c r="F331" s="3">
        <v>63</v>
      </c>
      <c r="G331" s="3">
        <v>200000</v>
      </c>
      <c r="H331" s="3">
        <v>276000</v>
      </c>
      <c r="I331" s="3">
        <v>150</v>
      </c>
      <c r="J331" t="s">
        <v>574</v>
      </c>
    </row>
    <row r="332" spans="4:10" x14ac:dyDescent="0.25">
      <c r="D332" s="3" t="s">
        <v>68</v>
      </c>
      <c r="E332" s="3">
        <v>20000</v>
      </c>
      <c r="F332" s="3">
        <v>75</v>
      </c>
      <c r="G332" s="3">
        <v>200000</v>
      </c>
      <c r="H332" s="3">
        <v>283100</v>
      </c>
      <c r="I332" s="3">
        <v>150</v>
      </c>
      <c r="J332" t="s">
        <v>575</v>
      </c>
    </row>
    <row r="333" spans="4:10" x14ac:dyDescent="0.25">
      <c r="D333" s="3" t="s">
        <v>68</v>
      </c>
      <c r="E333" s="3">
        <v>20000</v>
      </c>
      <c r="F333" s="3">
        <v>80</v>
      </c>
      <c r="G333" s="3">
        <v>200000</v>
      </c>
      <c r="H333" s="3">
        <v>285700</v>
      </c>
      <c r="I333" s="3">
        <v>150</v>
      </c>
      <c r="J333" t="s">
        <v>403</v>
      </c>
    </row>
    <row r="334" spans="4:10" x14ac:dyDescent="0.25">
      <c r="D334" s="3" t="s">
        <v>68</v>
      </c>
      <c r="E334" s="3">
        <v>20000</v>
      </c>
      <c r="F334" s="3">
        <v>100</v>
      </c>
      <c r="G334" s="3">
        <v>200000</v>
      </c>
      <c r="H334" s="3">
        <v>294600</v>
      </c>
      <c r="I334" s="3">
        <v>150</v>
      </c>
      <c r="J334" t="s">
        <v>133</v>
      </c>
    </row>
    <row r="335" spans="4:10" x14ac:dyDescent="0.25">
      <c r="D335" s="3" t="s">
        <v>68</v>
      </c>
      <c r="E335" s="3">
        <v>20000</v>
      </c>
      <c r="F335" s="3">
        <v>125</v>
      </c>
      <c r="G335" s="3">
        <v>200000</v>
      </c>
      <c r="H335" s="3">
        <v>303100</v>
      </c>
      <c r="I335" s="3">
        <v>150</v>
      </c>
      <c r="J335" t="s">
        <v>134</v>
      </c>
    </row>
    <row r="336" spans="4:10" x14ac:dyDescent="0.25">
      <c r="D336" s="3" t="s">
        <v>68</v>
      </c>
      <c r="E336" s="3">
        <v>20000</v>
      </c>
      <c r="F336" s="3">
        <v>150</v>
      </c>
      <c r="G336" s="3">
        <v>200000</v>
      </c>
      <c r="H336" s="3">
        <v>309700</v>
      </c>
      <c r="I336" s="3">
        <v>150</v>
      </c>
      <c r="J336" t="s">
        <v>576</v>
      </c>
    </row>
    <row r="337" spans="4:10" x14ac:dyDescent="0.25">
      <c r="D337" s="3" t="s">
        <v>68</v>
      </c>
      <c r="E337" s="3">
        <v>20000</v>
      </c>
      <c r="F337" s="3">
        <v>160</v>
      </c>
      <c r="G337" s="3">
        <v>200000</v>
      </c>
      <c r="H337" s="3">
        <v>312000</v>
      </c>
      <c r="I337" s="3">
        <v>150</v>
      </c>
      <c r="J337" t="s">
        <v>135</v>
      </c>
    </row>
    <row r="338" spans="4:10" x14ac:dyDescent="0.25">
      <c r="D338" s="3" t="s">
        <v>68</v>
      </c>
      <c r="E338" s="3">
        <v>20000</v>
      </c>
      <c r="F338" s="3">
        <v>175</v>
      </c>
      <c r="G338" s="3">
        <v>200000</v>
      </c>
      <c r="H338" s="3">
        <v>315000</v>
      </c>
      <c r="I338" s="3">
        <v>150</v>
      </c>
      <c r="J338" t="s">
        <v>577</v>
      </c>
    </row>
    <row r="339" spans="4:10" x14ac:dyDescent="0.25">
      <c r="D339" s="3" t="s">
        <v>68</v>
      </c>
      <c r="E339" s="3">
        <v>20000</v>
      </c>
      <c r="F339" s="3">
        <v>200</v>
      </c>
      <c r="G339" s="3">
        <v>200000</v>
      </c>
      <c r="H339" s="3">
        <v>319000</v>
      </c>
      <c r="I339" s="3">
        <v>150</v>
      </c>
      <c r="J339" t="s">
        <v>136</v>
      </c>
    </row>
    <row r="340" spans="4:10" x14ac:dyDescent="0.25">
      <c r="D340" s="3" t="s">
        <v>68</v>
      </c>
      <c r="E340" s="3">
        <v>20000</v>
      </c>
      <c r="F340" s="3">
        <v>250</v>
      </c>
      <c r="G340" s="3">
        <v>200000</v>
      </c>
      <c r="H340" s="3">
        <v>325600</v>
      </c>
      <c r="I340" s="3">
        <v>150</v>
      </c>
      <c r="J340" t="s">
        <v>137</v>
      </c>
    </row>
    <row r="341" spans="4:10" x14ac:dyDescent="0.25">
      <c r="D341" s="3" t="s">
        <v>68</v>
      </c>
      <c r="E341" s="3">
        <v>20000</v>
      </c>
      <c r="F341" s="3">
        <v>300</v>
      </c>
      <c r="G341" s="3">
        <v>200000</v>
      </c>
      <c r="H341" s="3">
        <v>330600</v>
      </c>
      <c r="I341" s="3">
        <v>150</v>
      </c>
      <c r="J341" t="s">
        <v>138</v>
      </c>
    </row>
    <row r="342" spans="4:10" x14ac:dyDescent="0.25">
      <c r="D342" s="3" t="s">
        <v>61</v>
      </c>
      <c r="E342" s="3" t="s">
        <v>61</v>
      </c>
      <c r="F342" s="3">
        <v>7</v>
      </c>
      <c r="G342" s="3">
        <v>900</v>
      </c>
      <c r="H342" s="3">
        <v>1600</v>
      </c>
      <c r="I342" s="3">
        <v>180</v>
      </c>
      <c r="J342" s="138" t="s">
        <v>578</v>
      </c>
    </row>
    <row r="343" spans="4:10" x14ac:dyDescent="0.25">
      <c r="D343" s="3" t="s">
        <v>61</v>
      </c>
      <c r="E343" s="3" t="s">
        <v>61</v>
      </c>
      <c r="F343" s="3">
        <v>10</v>
      </c>
      <c r="G343" s="3">
        <v>900</v>
      </c>
      <c r="H343" s="3">
        <v>1400</v>
      </c>
      <c r="I343" s="3">
        <v>180</v>
      </c>
      <c r="J343" s="138" t="s">
        <v>579</v>
      </c>
    </row>
    <row r="344" spans="4:10" x14ac:dyDescent="0.25">
      <c r="D344" s="3" t="s">
        <v>61</v>
      </c>
      <c r="E344" s="3" t="s">
        <v>61</v>
      </c>
      <c r="F344" s="3">
        <v>15</v>
      </c>
      <c r="G344" s="3">
        <v>900</v>
      </c>
      <c r="H344" s="3">
        <v>1300</v>
      </c>
      <c r="I344" s="3">
        <v>180</v>
      </c>
      <c r="J344" s="138" t="s">
        <v>580</v>
      </c>
    </row>
    <row r="345" spans="4:10" x14ac:dyDescent="0.25">
      <c r="D345" s="3" t="s">
        <v>61</v>
      </c>
      <c r="E345" s="3" t="s">
        <v>61</v>
      </c>
      <c r="F345" s="3">
        <v>25</v>
      </c>
      <c r="G345" s="3">
        <v>900</v>
      </c>
      <c r="H345" s="3">
        <v>1300</v>
      </c>
      <c r="I345" s="3">
        <v>180</v>
      </c>
      <c r="J345" s="138" t="s">
        <v>581</v>
      </c>
    </row>
    <row r="346" spans="4:10" x14ac:dyDescent="0.25">
      <c r="D346" s="3" t="s">
        <v>61</v>
      </c>
      <c r="E346" s="3" t="s">
        <v>61</v>
      </c>
      <c r="F346" s="3">
        <v>38.1</v>
      </c>
      <c r="G346" s="3">
        <v>900</v>
      </c>
      <c r="H346" s="3">
        <v>1200</v>
      </c>
      <c r="I346" s="3">
        <v>180</v>
      </c>
      <c r="J346" s="138" t="s">
        <v>582</v>
      </c>
    </row>
    <row r="347" spans="4:10" x14ac:dyDescent="0.25">
      <c r="D347" s="3" t="s">
        <v>61</v>
      </c>
      <c r="E347" s="3" t="s">
        <v>61</v>
      </c>
      <c r="F347" s="3">
        <v>50</v>
      </c>
      <c r="G347" s="3">
        <v>900</v>
      </c>
      <c r="H347" s="3">
        <v>1200</v>
      </c>
      <c r="I347" s="3">
        <v>180</v>
      </c>
      <c r="J347" s="138" t="s">
        <v>583</v>
      </c>
    </row>
    <row r="348" spans="4:10" x14ac:dyDescent="0.25">
      <c r="D348" s="3" t="s">
        <v>61</v>
      </c>
      <c r="E348" s="3" t="s">
        <v>61</v>
      </c>
      <c r="F348" s="3">
        <v>63.5</v>
      </c>
      <c r="G348" s="3">
        <v>900</v>
      </c>
      <c r="H348" s="3">
        <v>1200</v>
      </c>
      <c r="I348" s="3">
        <v>180</v>
      </c>
      <c r="J348" s="138" t="s">
        <v>584</v>
      </c>
    </row>
    <row r="349" spans="4:10" x14ac:dyDescent="0.25">
      <c r="D349" s="3" t="s">
        <v>61</v>
      </c>
      <c r="E349" s="3" t="s">
        <v>61</v>
      </c>
      <c r="F349" s="3">
        <v>80</v>
      </c>
      <c r="G349" s="3">
        <v>900</v>
      </c>
      <c r="H349" s="3">
        <v>1200</v>
      </c>
      <c r="I349" s="3">
        <v>180</v>
      </c>
      <c r="J349" s="138" t="s">
        <v>585</v>
      </c>
    </row>
    <row r="350" spans="4:10" x14ac:dyDescent="0.25">
      <c r="D350" s="3" t="s">
        <v>61</v>
      </c>
      <c r="E350" s="3" t="s">
        <v>61</v>
      </c>
      <c r="F350" s="3">
        <v>100</v>
      </c>
      <c r="G350" s="3">
        <v>900</v>
      </c>
      <c r="H350" s="3">
        <v>1200</v>
      </c>
      <c r="I350" s="3">
        <v>180</v>
      </c>
      <c r="J350" s="138" t="s">
        <v>586</v>
      </c>
    </row>
    <row r="351" spans="4:10" x14ac:dyDescent="0.25">
      <c r="D351" s="3" t="s">
        <v>61</v>
      </c>
      <c r="E351" s="3" t="s">
        <v>61</v>
      </c>
      <c r="F351" s="3">
        <v>125</v>
      </c>
      <c r="G351" s="3">
        <v>900</v>
      </c>
      <c r="H351" s="3">
        <v>1200</v>
      </c>
      <c r="I351" s="3">
        <v>180</v>
      </c>
      <c r="J351" s="138" t="s">
        <v>587</v>
      </c>
    </row>
    <row r="352" spans="4:10" x14ac:dyDescent="0.25">
      <c r="D352" s="3" t="s">
        <v>62</v>
      </c>
      <c r="E352" s="3" t="s">
        <v>62</v>
      </c>
      <c r="F352" s="3">
        <v>10</v>
      </c>
      <c r="G352" s="3">
        <v>2000</v>
      </c>
      <c r="H352" s="3">
        <v>3060</v>
      </c>
      <c r="I352" s="3">
        <v>180</v>
      </c>
      <c r="J352" s="138" t="s">
        <v>588</v>
      </c>
    </row>
    <row r="353" spans="4:10" x14ac:dyDescent="0.25">
      <c r="D353" s="3" t="s">
        <v>62</v>
      </c>
      <c r="E353" s="3" t="s">
        <v>62</v>
      </c>
      <c r="F353" s="3">
        <v>12.7</v>
      </c>
      <c r="G353" s="3">
        <v>2000</v>
      </c>
      <c r="H353" s="3">
        <v>3070</v>
      </c>
      <c r="I353" s="3">
        <v>180</v>
      </c>
      <c r="J353" s="138" t="s">
        <v>589</v>
      </c>
    </row>
    <row r="354" spans="4:10" x14ac:dyDescent="0.25">
      <c r="D354" s="3" t="s">
        <v>62</v>
      </c>
      <c r="E354" s="3" t="s">
        <v>62</v>
      </c>
      <c r="F354" s="3">
        <v>15</v>
      </c>
      <c r="G354" s="3">
        <v>2000</v>
      </c>
      <c r="H354" s="3">
        <v>3070</v>
      </c>
      <c r="I354" s="3">
        <v>180</v>
      </c>
      <c r="J354" s="138" t="s">
        <v>590</v>
      </c>
    </row>
    <row r="355" spans="4:10" x14ac:dyDescent="0.25">
      <c r="D355" s="3" t="s">
        <v>62</v>
      </c>
      <c r="E355" s="3" t="s">
        <v>62</v>
      </c>
      <c r="F355" s="3">
        <v>16</v>
      </c>
      <c r="G355" s="3">
        <v>2000</v>
      </c>
      <c r="H355" s="3">
        <v>3070</v>
      </c>
      <c r="I355" s="3">
        <v>180</v>
      </c>
      <c r="J355" s="138" t="s">
        <v>591</v>
      </c>
    </row>
    <row r="356" spans="4:10" x14ac:dyDescent="0.25">
      <c r="D356" s="3" t="s">
        <v>62</v>
      </c>
      <c r="E356" s="3" t="s">
        <v>62</v>
      </c>
      <c r="F356" s="3">
        <v>25</v>
      </c>
      <c r="G356" s="3">
        <v>2000</v>
      </c>
      <c r="H356" s="3">
        <v>3080</v>
      </c>
      <c r="I356" s="3">
        <v>180</v>
      </c>
      <c r="J356" s="138" t="s">
        <v>592</v>
      </c>
    </row>
    <row r="357" spans="4:10" x14ac:dyDescent="0.25">
      <c r="D357" s="3" t="s">
        <v>62</v>
      </c>
      <c r="E357" s="3" t="s">
        <v>62</v>
      </c>
      <c r="F357" s="3">
        <v>38.1</v>
      </c>
      <c r="G357" s="3">
        <v>2000</v>
      </c>
      <c r="H357" s="3">
        <v>3090</v>
      </c>
      <c r="I357" s="3">
        <v>180</v>
      </c>
      <c r="J357" s="138" t="s">
        <v>593</v>
      </c>
    </row>
    <row r="358" spans="4:10" x14ac:dyDescent="0.25">
      <c r="D358" s="3" t="s">
        <v>62</v>
      </c>
      <c r="E358" s="3" t="s">
        <v>62</v>
      </c>
      <c r="F358" s="3">
        <v>50</v>
      </c>
      <c r="G358" s="3">
        <v>2000</v>
      </c>
      <c r="H358" s="3">
        <v>3090</v>
      </c>
      <c r="I358" s="3">
        <v>180</v>
      </c>
      <c r="J358" s="138" t="s">
        <v>594</v>
      </c>
    </row>
    <row r="359" spans="4:10" x14ac:dyDescent="0.25">
      <c r="D359" s="3" t="s">
        <v>62</v>
      </c>
      <c r="E359" s="3" t="s">
        <v>62</v>
      </c>
      <c r="F359" s="3">
        <v>63.5</v>
      </c>
      <c r="G359" s="3">
        <v>2000</v>
      </c>
      <c r="H359" s="3">
        <v>3020</v>
      </c>
      <c r="I359" s="3">
        <v>180</v>
      </c>
      <c r="J359" s="138" t="s">
        <v>595</v>
      </c>
    </row>
    <row r="360" spans="4:10" x14ac:dyDescent="0.25">
      <c r="D360" s="3" t="s">
        <v>62</v>
      </c>
      <c r="E360" s="3" t="s">
        <v>62</v>
      </c>
      <c r="F360" s="3">
        <v>80</v>
      </c>
      <c r="G360" s="3">
        <v>2000</v>
      </c>
      <c r="H360" s="3">
        <v>3040</v>
      </c>
      <c r="I360" s="3">
        <v>180</v>
      </c>
      <c r="J360" s="138" t="s">
        <v>596</v>
      </c>
    </row>
    <row r="361" spans="4:10" x14ac:dyDescent="0.25">
      <c r="D361" s="3" t="s">
        <v>62</v>
      </c>
      <c r="E361" s="3" t="s">
        <v>62</v>
      </c>
      <c r="F361" s="3">
        <v>100</v>
      </c>
      <c r="G361" s="3">
        <v>2000</v>
      </c>
      <c r="H361" s="3">
        <v>3050</v>
      </c>
      <c r="I361" s="3">
        <v>180</v>
      </c>
      <c r="J361" s="138" t="s">
        <v>597</v>
      </c>
    </row>
    <row r="362" spans="4:10" x14ac:dyDescent="0.25">
      <c r="D362" s="3" t="s">
        <v>62</v>
      </c>
      <c r="E362" s="3" t="s">
        <v>62</v>
      </c>
      <c r="F362" s="3">
        <v>125</v>
      </c>
      <c r="G362" s="3">
        <v>2000</v>
      </c>
      <c r="H362" s="3">
        <v>3060</v>
      </c>
      <c r="I362" s="3">
        <v>180</v>
      </c>
      <c r="J362" s="138" t="s">
        <v>598</v>
      </c>
    </row>
    <row r="363" spans="4:10" x14ac:dyDescent="0.25">
      <c r="D363" s="3" t="s">
        <v>63</v>
      </c>
      <c r="E363" s="3" t="s">
        <v>63</v>
      </c>
      <c r="F363" s="3">
        <v>10</v>
      </c>
      <c r="G363" s="3">
        <v>2000</v>
      </c>
      <c r="H363" s="3">
        <v>3060</v>
      </c>
      <c r="I363" s="3">
        <v>180</v>
      </c>
      <c r="J363" s="138" t="s">
        <v>599</v>
      </c>
    </row>
    <row r="364" spans="4:10" x14ac:dyDescent="0.25">
      <c r="D364" s="3" t="s">
        <v>63</v>
      </c>
      <c r="E364" s="3" t="s">
        <v>63</v>
      </c>
      <c r="F364" s="3">
        <v>12.7</v>
      </c>
      <c r="G364" s="3">
        <v>2000</v>
      </c>
      <c r="H364" s="3">
        <v>3070</v>
      </c>
      <c r="I364" s="3">
        <v>180</v>
      </c>
      <c r="J364" s="138" t="s">
        <v>600</v>
      </c>
    </row>
    <row r="365" spans="4:10" x14ac:dyDescent="0.25">
      <c r="D365" s="3" t="s">
        <v>63</v>
      </c>
      <c r="E365" s="3" t="s">
        <v>63</v>
      </c>
      <c r="F365" s="3">
        <v>16</v>
      </c>
      <c r="G365" s="3">
        <v>2000</v>
      </c>
      <c r="H365" s="3">
        <v>3070</v>
      </c>
      <c r="I365" s="3">
        <v>180</v>
      </c>
      <c r="J365" s="138" t="s">
        <v>601</v>
      </c>
    </row>
    <row r="366" spans="4:10" x14ac:dyDescent="0.25">
      <c r="D366" s="3" t="s">
        <v>63</v>
      </c>
      <c r="E366" s="3" t="s">
        <v>63</v>
      </c>
      <c r="F366" s="3">
        <v>25</v>
      </c>
      <c r="G366" s="3">
        <v>2000</v>
      </c>
      <c r="H366" s="3">
        <v>3080</v>
      </c>
      <c r="I366" s="3">
        <v>180</v>
      </c>
      <c r="J366" s="138" t="s">
        <v>602</v>
      </c>
    </row>
    <row r="367" spans="4:10" x14ac:dyDescent="0.25">
      <c r="D367" s="3" t="s">
        <v>63</v>
      </c>
      <c r="E367" s="3" t="s">
        <v>63</v>
      </c>
      <c r="F367" s="3">
        <v>38.1</v>
      </c>
      <c r="G367" s="3">
        <v>2000</v>
      </c>
      <c r="H367" s="3">
        <v>3090</v>
      </c>
      <c r="I367" s="3">
        <v>180</v>
      </c>
      <c r="J367" s="138" t="s">
        <v>603</v>
      </c>
    </row>
    <row r="368" spans="4:10" x14ac:dyDescent="0.25">
      <c r="D368" s="3" t="s">
        <v>63</v>
      </c>
      <c r="E368" s="3" t="s">
        <v>63</v>
      </c>
      <c r="F368" s="3">
        <v>50</v>
      </c>
      <c r="G368" s="3">
        <v>2000</v>
      </c>
      <c r="H368" s="3">
        <v>3090</v>
      </c>
      <c r="I368" s="3">
        <v>180</v>
      </c>
      <c r="J368" s="138" t="s">
        <v>604</v>
      </c>
    </row>
    <row r="369" spans="4:10" x14ac:dyDescent="0.25">
      <c r="D369" s="3" t="s">
        <v>63</v>
      </c>
      <c r="E369" s="3" t="s">
        <v>63</v>
      </c>
      <c r="F369" s="3">
        <v>63.5</v>
      </c>
      <c r="G369" s="3">
        <v>2000</v>
      </c>
      <c r="H369" s="3">
        <v>3020</v>
      </c>
      <c r="I369" s="3">
        <v>180</v>
      </c>
      <c r="J369" s="138" t="s">
        <v>605</v>
      </c>
    </row>
    <row r="370" spans="4:10" x14ac:dyDescent="0.25">
      <c r="D370" s="3" t="s">
        <v>63</v>
      </c>
      <c r="E370" s="3" t="s">
        <v>63</v>
      </c>
      <c r="F370" s="3">
        <v>80</v>
      </c>
      <c r="G370" s="3">
        <v>2000</v>
      </c>
      <c r="H370" s="3">
        <v>3040</v>
      </c>
      <c r="I370" s="3">
        <v>180</v>
      </c>
      <c r="J370" s="138" t="s">
        <v>606</v>
      </c>
    </row>
    <row r="371" spans="4:10" x14ac:dyDescent="0.25">
      <c r="D371" s="3" t="s">
        <v>63</v>
      </c>
      <c r="E371" s="3" t="s">
        <v>63</v>
      </c>
      <c r="F371" s="3">
        <v>100</v>
      </c>
      <c r="G371" s="3">
        <v>2000</v>
      </c>
      <c r="H371" s="3">
        <v>3050</v>
      </c>
      <c r="I371" s="3">
        <v>180</v>
      </c>
      <c r="J371" s="138" t="s">
        <v>607</v>
      </c>
    </row>
    <row r="372" spans="4:10" x14ac:dyDescent="0.25">
      <c r="D372" s="3" t="s">
        <v>63</v>
      </c>
      <c r="E372" s="3" t="s">
        <v>63</v>
      </c>
      <c r="F372" s="3">
        <v>125</v>
      </c>
      <c r="G372" s="3">
        <v>2000</v>
      </c>
      <c r="H372" s="3">
        <v>3060</v>
      </c>
      <c r="I372" s="3">
        <v>180</v>
      </c>
      <c r="J372" s="138" t="s">
        <v>608</v>
      </c>
    </row>
    <row r="373" spans="4:10" x14ac:dyDescent="0.25">
      <c r="D373" s="213" t="s">
        <v>60</v>
      </c>
      <c r="E373" s="213">
        <v>420</v>
      </c>
      <c r="F373" s="213">
        <v>6</v>
      </c>
      <c r="G373" s="213">
        <v>4250</v>
      </c>
      <c r="H373" s="213">
        <v>7300</v>
      </c>
      <c r="I373" s="213">
        <v>150</v>
      </c>
      <c r="J373" s="3" t="s">
        <v>609</v>
      </c>
    </row>
    <row r="374" spans="4:10" x14ac:dyDescent="0.25">
      <c r="D374" s="213" t="s">
        <v>60</v>
      </c>
      <c r="E374" s="213">
        <v>420</v>
      </c>
      <c r="F374" s="213">
        <v>10</v>
      </c>
      <c r="G374" s="213">
        <v>4250</v>
      </c>
      <c r="H374" s="213">
        <v>7300</v>
      </c>
      <c r="I374" s="213">
        <v>150</v>
      </c>
      <c r="J374" s="3" t="s">
        <v>610</v>
      </c>
    </row>
    <row r="375" spans="4:10" x14ac:dyDescent="0.25">
      <c r="D375" s="213" t="s">
        <v>60</v>
      </c>
      <c r="E375" s="213">
        <v>420</v>
      </c>
      <c r="F375" s="213">
        <v>16</v>
      </c>
      <c r="G375" s="213">
        <v>4250</v>
      </c>
      <c r="H375" s="213">
        <v>7300</v>
      </c>
      <c r="I375" s="213">
        <v>150</v>
      </c>
      <c r="J375" s="3" t="s">
        <v>611</v>
      </c>
    </row>
    <row r="376" spans="4:10" x14ac:dyDescent="0.25">
      <c r="D376" s="213" t="s">
        <v>60</v>
      </c>
      <c r="E376" s="213">
        <v>420</v>
      </c>
      <c r="F376" s="213">
        <v>25</v>
      </c>
      <c r="G376" s="213">
        <v>4250</v>
      </c>
      <c r="H376" s="213">
        <v>7400</v>
      </c>
      <c r="I376" s="213">
        <v>150</v>
      </c>
      <c r="J376" s="3" t="s">
        <v>612</v>
      </c>
    </row>
    <row r="377" spans="4:10" x14ac:dyDescent="0.25">
      <c r="D377" s="213" t="s">
        <v>60</v>
      </c>
      <c r="E377" s="213">
        <v>420</v>
      </c>
      <c r="F377" s="213">
        <v>32</v>
      </c>
      <c r="G377" s="213">
        <v>4250</v>
      </c>
      <c r="H377" s="213">
        <v>7900</v>
      </c>
      <c r="I377" s="213">
        <v>150</v>
      </c>
      <c r="J377" s="3" t="s">
        <v>613</v>
      </c>
    </row>
    <row r="378" spans="4:10" x14ac:dyDescent="0.25">
      <c r="D378" s="213" t="s">
        <v>60</v>
      </c>
      <c r="E378" s="213">
        <v>420</v>
      </c>
      <c r="F378" s="213">
        <v>40</v>
      </c>
      <c r="G378" s="213">
        <v>4250</v>
      </c>
      <c r="H378" s="213">
        <v>8000</v>
      </c>
      <c r="I378" s="213">
        <v>150</v>
      </c>
      <c r="J378" s="3" t="s">
        <v>614</v>
      </c>
    </row>
    <row r="379" spans="4:10" x14ac:dyDescent="0.25">
      <c r="D379" s="213" t="s">
        <v>60</v>
      </c>
      <c r="E379" s="213">
        <v>420</v>
      </c>
      <c r="F379" s="213">
        <v>50</v>
      </c>
      <c r="G379" s="213">
        <v>4250</v>
      </c>
      <c r="H379" s="213">
        <v>8000</v>
      </c>
      <c r="I379" s="213">
        <v>150</v>
      </c>
      <c r="J379" s="3" t="s">
        <v>615</v>
      </c>
    </row>
    <row r="380" spans="4:10" x14ac:dyDescent="0.25">
      <c r="D380" s="213" t="s">
        <v>60</v>
      </c>
      <c r="E380" s="213">
        <v>740</v>
      </c>
      <c r="F380" s="213">
        <v>6</v>
      </c>
      <c r="G380" s="213">
        <v>7400</v>
      </c>
      <c r="H380" s="213">
        <v>10000</v>
      </c>
      <c r="I380" s="213">
        <v>150</v>
      </c>
      <c r="J380" s="3" t="s">
        <v>616</v>
      </c>
    </row>
    <row r="381" spans="4:10" x14ac:dyDescent="0.25">
      <c r="D381" s="213" t="s">
        <v>60</v>
      </c>
      <c r="E381" s="213">
        <v>740</v>
      </c>
      <c r="F381" s="213">
        <v>10</v>
      </c>
      <c r="G381" s="213">
        <v>7400</v>
      </c>
      <c r="H381" s="213">
        <v>10000</v>
      </c>
      <c r="I381" s="213">
        <v>150</v>
      </c>
      <c r="J381" s="3" t="s">
        <v>617</v>
      </c>
    </row>
    <row r="382" spans="4:10" x14ac:dyDescent="0.25">
      <c r="D382" s="213" t="s">
        <v>60</v>
      </c>
      <c r="E382" s="213">
        <v>740</v>
      </c>
      <c r="F382" s="213">
        <v>16</v>
      </c>
      <c r="G382" s="213">
        <v>7400</v>
      </c>
      <c r="H382" s="213">
        <v>11000</v>
      </c>
      <c r="I382" s="213">
        <v>150</v>
      </c>
      <c r="J382" s="3" t="s">
        <v>618</v>
      </c>
    </row>
    <row r="383" spans="4:10" x14ac:dyDescent="0.25">
      <c r="D383" s="213" t="s">
        <v>60</v>
      </c>
      <c r="E383" s="213">
        <v>740</v>
      </c>
      <c r="F383" s="213">
        <v>25</v>
      </c>
      <c r="G383" s="213">
        <v>7400</v>
      </c>
      <c r="H383" s="213">
        <v>12000</v>
      </c>
      <c r="I383" s="213">
        <v>150</v>
      </c>
      <c r="J383" s="3" t="s">
        <v>619</v>
      </c>
    </row>
    <row r="384" spans="4:10" x14ac:dyDescent="0.25">
      <c r="D384" s="213" t="s">
        <v>60</v>
      </c>
      <c r="E384" s="213">
        <v>740</v>
      </c>
      <c r="F384" s="213">
        <v>32</v>
      </c>
      <c r="G384" s="213">
        <v>7400</v>
      </c>
      <c r="H384" s="213">
        <v>12000</v>
      </c>
      <c r="I384" s="213">
        <v>150</v>
      </c>
      <c r="J384" s="3" t="s">
        <v>620</v>
      </c>
    </row>
    <row r="385" spans="4:10" x14ac:dyDescent="0.25">
      <c r="D385" s="213" t="s">
        <v>60</v>
      </c>
      <c r="E385" s="213">
        <v>740</v>
      </c>
      <c r="F385" s="213">
        <v>40</v>
      </c>
      <c r="G385" s="213">
        <v>7400</v>
      </c>
      <c r="H385" s="213">
        <v>12000</v>
      </c>
      <c r="I385" s="213">
        <v>150</v>
      </c>
      <c r="J385" s="3" t="s">
        <v>621</v>
      </c>
    </row>
    <row r="386" spans="4:10" x14ac:dyDescent="0.25">
      <c r="D386" s="213" t="s">
        <v>60</v>
      </c>
      <c r="E386" s="213">
        <v>740</v>
      </c>
      <c r="F386" s="213">
        <v>50</v>
      </c>
      <c r="G386" s="213">
        <v>7400</v>
      </c>
      <c r="H386" s="213">
        <v>12000</v>
      </c>
      <c r="I386" s="213">
        <v>150</v>
      </c>
      <c r="J386" s="3" t="s">
        <v>622</v>
      </c>
    </row>
    <row r="387" spans="4:10" x14ac:dyDescent="0.25">
      <c r="D387" s="213" t="s">
        <v>60</v>
      </c>
      <c r="E387" s="213">
        <v>1000</v>
      </c>
      <c r="F387" s="213">
        <v>6</v>
      </c>
      <c r="G387" s="213">
        <v>10600</v>
      </c>
      <c r="H387" s="213">
        <v>16000</v>
      </c>
      <c r="I387" s="213">
        <v>150</v>
      </c>
      <c r="J387" s="3" t="s">
        <v>623</v>
      </c>
    </row>
    <row r="388" spans="4:10" x14ac:dyDescent="0.25">
      <c r="D388" s="213" t="s">
        <v>60</v>
      </c>
      <c r="E388" s="213">
        <v>1000</v>
      </c>
      <c r="F388" s="213">
        <v>10</v>
      </c>
      <c r="G388" s="213">
        <v>10600</v>
      </c>
      <c r="H388" s="213">
        <v>16000</v>
      </c>
      <c r="I388" s="213">
        <v>150</v>
      </c>
      <c r="J388" s="3" t="s">
        <v>624</v>
      </c>
    </row>
    <row r="389" spans="4:10" x14ac:dyDescent="0.25">
      <c r="D389" s="213" t="s">
        <v>60</v>
      </c>
      <c r="E389" s="213">
        <v>1000</v>
      </c>
      <c r="F389" s="213">
        <v>16</v>
      </c>
      <c r="G389" s="213">
        <v>10600</v>
      </c>
      <c r="H389" s="213">
        <v>16000</v>
      </c>
      <c r="I389" s="213">
        <v>150</v>
      </c>
      <c r="J389" s="3" t="s">
        <v>625</v>
      </c>
    </row>
    <row r="390" spans="4:10" x14ac:dyDescent="0.25">
      <c r="D390" s="213" t="s">
        <v>60</v>
      </c>
      <c r="E390" s="213">
        <v>1000</v>
      </c>
      <c r="F390" s="213">
        <v>25</v>
      </c>
      <c r="G390" s="213">
        <v>10600</v>
      </c>
      <c r="H390" s="213">
        <v>16000</v>
      </c>
      <c r="I390" s="213">
        <v>150</v>
      </c>
      <c r="J390" s="3" t="s">
        <v>626</v>
      </c>
    </row>
    <row r="391" spans="4:10" x14ac:dyDescent="0.25">
      <c r="D391" s="213" t="s">
        <v>60</v>
      </c>
      <c r="E391" s="213">
        <v>1000</v>
      </c>
      <c r="F391" s="213">
        <v>32</v>
      </c>
      <c r="G391" s="213">
        <v>10600</v>
      </c>
      <c r="H391" s="213">
        <v>16000</v>
      </c>
      <c r="I391" s="213">
        <v>150</v>
      </c>
      <c r="J391" s="3" t="s">
        <v>627</v>
      </c>
    </row>
    <row r="392" spans="4:10" x14ac:dyDescent="0.25">
      <c r="D392" s="213" t="s">
        <v>60</v>
      </c>
      <c r="E392" s="213">
        <v>1000</v>
      </c>
      <c r="F392" s="213">
        <v>40</v>
      </c>
      <c r="G392" s="213">
        <v>10600</v>
      </c>
      <c r="H392" s="213">
        <v>16000</v>
      </c>
      <c r="I392" s="213">
        <v>150</v>
      </c>
      <c r="J392" s="3" t="s">
        <v>628</v>
      </c>
    </row>
    <row r="393" spans="4:10" x14ac:dyDescent="0.25">
      <c r="D393" s="213" t="s">
        <v>60</v>
      </c>
      <c r="E393" s="213">
        <v>1000</v>
      </c>
      <c r="F393" s="213">
        <v>50</v>
      </c>
      <c r="G393" s="213">
        <v>10600</v>
      </c>
      <c r="H393" s="213">
        <v>16000</v>
      </c>
      <c r="I393" s="213">
        <v>150</v>
      </c>
      <c r="J393" s="3" t="s">
        <v>629</v>
      </c>
    </row>
    <row r="394" spans="4:10" x14ac:dyDescent="0.25">
      <c r="D394" s="213" t="s">
        <v>60</v>
      </c>
      <c r="E394" s="213">
        <v>1800</v>
      </c>
      <c r="F394" s="213">
        <v>6</v>
      </c>
      <c r="G394" s="213">
        <v>18000</v>
      </c>
      <c r="H394" s="213">
        <v>24000</v>
      </c>
      <c r="I394" s="213">
        <v>150</v>
      </c>
      <c r="J394" s="3" t="s">
        <v>630</v>
      </c>
    </row>
    <row r="395" spans="4:10" x14ac:dyDescent="0.25">
      <c r="D395" s="213" t="s">
        <v>60</v>
      </c>
      <c r="E395" s="213">
        <v>1800</v>
      </c>
      <c r="F395" s="213">
        <v>10</v>
      </c>
      <c r="G395" s="213">
        <v>18000</v>
      </c>
      <c r="H395" s="213">
        <v>25000</v>
      </c>
      <c r="I395" s="213">
        <v>150</v>
      </c>
      <c r="J395" s="3" t="s">
        <v>631</v>
      </c>
    </row>
    <row r="396" spans="4:10" x14ac:dyDescent="0.25">
      <c r="D396" s="213" t="s">
        <v>60</v>
      </c>
      <c r="E396" s="213">
        <v>1800</v>
      </c>
      <c r="F396" s="213">
        <v>16</v>
      </c>
      <c r="G396" s="213">
        <v>18000</v>
      </c>
      <c r="H396" s="213">
        <v>25000</v>
      </c>
      <c r="I396" s="213">
        <v>150</v>
      </c>
      <c r="J396" s="3" t="s">
        <v>632</v>
      </c>
    </row>
    <row r="397" spans="4:10" x14ac:dyDescent="0.25">
      <c r="D397" s="213" t="s">
        <v>60</v>
      </c>
      <c r="E397" s="213">
        <v>1800</v>
      </c>
      <c r="F397" s="213">
        <v>25</v>
      </c>
      <c r="G397" s="213">
        <v>18000</v>
      </c>
      <c r="H397" s="213">
        <v>26000</v>
      </c>
      <c r="I397" s="213">
        <v>150</v>
      </c>
      <c r="J397" s="3" t="s">
        <v>633</v>
      </c>
    </row>
    <row r="398" spans="4:10" x14ac:dyDescent="0.25">
      <c r="D398" s="213" t="s">
        <v>60</v>
      </c>
      <c r="E398" s="213">
        <v>1800</v>
      </c>
      <c r="F398" s="213">
        <v>32</v>
      </c>
      <c r="G398" s="213">
        <v>18000</v>
      </c>
      <c r="H398" s="213">
        <v>26000</v>
      </c>
      <c r="I398" s="213">
        <v>150</v>
      </c>
      <c r="J398" s="3" t="s">
        <v>634</v>
      </c>
    </row>
    <row r="399" spans="4:10" x14ac:dyDescent="0.25">
      <c r="D399" s="213" t="s">
        <v>60</v>
      </c>
      <c r="E399" s="213">
        <v>1800</v>
      </c>
      <c r="F399" s="213">
        <v>40</v>
      </c>
      <c r="G399" s="213">
        <v>18000</v>
      </c>
      <c r="H399" s="213">
        <v>26000</v>
      </c>
      <c r="I399" s="213">
        <v>150</v>
      </c>
      <c r="J399" s="3" t="s">
        <v>635</v>
      </c>
    </row>
    <row r="400" spans="4:10" x14ac:dyDescent="0.25">
      <c r="D400" s="213" t="s">
        <v>60</v>
      </c>
      <c r="E400" s="213">
        <v>1800</v>
      </c>
      <c r="F400" s="213">
        <v>50</v>
      </c>
      <c r="G400" s="213">
        <v>18000</v>
      </c>
      <c r="H400" s="213">
        <v>27000</v>
      </c>
      <c r="I400" s="213">
        <v>150</v>
      </c>
      <c r="J400" s="3" t="s">
        <v>636</v>
      </c>
    </row>
    <row r="401" spans="4:10" x14ac:dyDescent="0.25">
      <c r="D401" s="213" t="s">
        <v>60</v>
      </c>
      <c r="E401" s="213">
        <v>1800</v>
      </c>
      <c r="F401" s="213">
        <v>65</v>
      </c>
      <c r="G401" s="213">
        <v>18000</v>
      </c>
      <c r="H401" s="213">
        <v>28000</v>
      </c>
      <c r="I401" s="213">
        <v>150</v>
      </c>
      <c r="J401" s="3" t="s">
        <v>637</v>
      </c>
    </row>
    <row r="402" spans="4:10" x14ac:dyDescent="0.25">
      <c r="D402" s="213" t="s">
        <v>60</v>
      </c>
      <c r="E402" s="213">
        <v>2900</v>
      </c>
      <c r="F402" s="213">
        <v>10</v>
      </c>
      <c r="G402" s="213">
        <v>29500</v>
      </c>
      <c r="H402" s="213">
        <v>40000</v>
      </c>
      <c r="I402" s="213">
        <v>150</v>
      </c>
      <c r="J402" s="3" t="s">
        <v>638</v>
      </c>
    </row>
    <row r="403" spans="4:10" x14ac:dyDescent="0.25">
      <c r="D403" s="213" t="s">
        <v>60</v>
      </c>
      <c r="E403" s="213">
        <v>2900</v>
      </c>
      <c r="F403" s="213">
        <v>16</v>
      </c>
      <c r="G403" s="213">
        <v>29500</v>
      </c>
      <c r="H403" s="213">
        <v>42000</v>
      </c>
      <c r="I403" s="213">
        <v>150</v>
      </c>
      <c r="J403" s="3" t="s">
        <v>639</v>
      </c>
    </row>
    <row r="404" spans="4:10" x14ac:dyDescent="0.25">
      <c r="D404" s="213" t="s">
        <v>60</v>
      </c>
      <c r="E404" s="213">
        <v>2900</v>
      </c>
      <c r="F404" s="213">
        <v>25</v>
      </c>
      <c r="G404" s="213">
        <v>29500</v>
      </c>
      <c r="H404" s="213">
        <v>45000</v>
      </c>
      <c r="I404" s="213">
        <v>150</v>
      </c>
      <c r="J404" s="3" t="s">
        <v>640</v>
      </c>
    </row>
    <row r="405" spans="4:10" x14ac:dyDescent="0.25">
      <c r="D405" s="213" t="s">
        <v>60</v>
      </c>
      <c r="E405" s="213">
        <v>2900</v>
      </c>
      <c r="F405" s="213">
        <v>32</v>
      </c>
      <c r="G405" s="213">
        <v>29500</v>
      </c>
      <c r="H405" s="213">
        <v>46200</v>
      </c>
      <c r="I405" s="213">
        <v>150</v>
      </c>
      <c r="J405" s="3" t="s">
        <v>641</v>
      </c>
    </row>
    <row r="406" spans="4:10" x14ac:dyDescent="0.25">
      <c r="D406" s="213" t="s">
        <v>60</v>
      </c>
      <c r="E406" s="213">
        <v>2900</v>
      </c>
      <c r="F406" s="213">
        <v>40</v>
      </c>
      <c r="G406" s="213">
        <v>29500</v>
      </c>
      <c r="H406" s="213">
        <v>47200</v>
      </c>
      <c r="I406" s="213">
        <v>150</v>
      </c>
      <c r="J406" s="3" t="s">
        <v>642</v>
      </c>
    </row>
    <row r="407" spans="4:10" x14ac:dyDescent="0.25">
      <c r="D407" s="213" t="s">
        <v>60</v>
      </c>
      <c r="E407" s="213">
        <v>2900</v>
      </c>
      <c r="F407" s="213">
        <v>50</v>
      </c>
      <c r="G407" s="213">
        <v>29500</v>
      </c>
      <c r="H407" s="213">
        <v>45000</v>
      </c>
      <c r="I407" s="213">
        <v>150</v>
      </c>
      <c r="J407" s="3" t="s">
        <v>643</v>
      </c>
    </row>
    <row r="408" spans="4:10" x14ac:dyDescent="0.25">
      <c r="D408" s="213" t="s">
        <v>60</v>
      </c>
      <c r="E408" s="213">
        <v>2900</v>
      </c>
      <c r="F408" s="213">
        <v>65</v>
      </c>
      <c r="G408" s="213">
        <v>29500</v>
      </c>
      <c r="H408" s="213">
        <v>47000</v>
      </c>
      <c r="I408" s="213">
        <v>150</v>
      </c>
      <c r="J408" s="3" t="s">
        <v>644</v>
      </c>
    </row>
    <row r="409" spans="4:10" x14ac:dyDescent="0.25">
      <c r="D409" s="213" t="s">
        <v>60</v>
      </c>
      <c r="E409" s="213">
        <v>4700</v>
      </c>
      <c r="F409" s="213">
        <v>10</v>
      </c>
      <c r="G409" s="213">
        <v>47000</v>
      </c>
      <c r="H409" s="213">
        <v>67000</v>
      </c>
      <c r="I409" s="213">
        <v>150</v>
      </c>
      <c r="J409" s="3" t="s">
        <v>645</v>
      </c>
    </row>
    <row r="410" spans="4:10" x14ac:dyDescent="0.25">
      <c r="D410" s="213" t="s">
        <v>60</v>
      </c>
      <c r="E410" s="213">
        <v>4700</v>
      </c>
      <c r="F410" s="213">
        <v>16</v>
      </c>
      <c r="G410" s="213">
        <v>47000</v>
      </c>
      <c r="H410" s="213">
        <v>66000</v>
      </c>
      <c r="I410" s="213">
        <v>150</v>
      </c>
      <c r="J410" s="3" t="s">
        <v>646</v>
      </c>
    </row>
    <row r="411" spans="4:10" x14ac:dyDescent="0.25">
      <c r="D411" s="213" t="s">
        <v>60</v>
      </c>
      <c r="E411" s="213">
        <v>4700</v>
      </c>
      <c r="F411" s="213">
        <v>25</v>
      </c>
      <c r="G411" s="213">
        <v>47000</v>
      </c>
      <c r="H411" s="213">
        <v>68000</v>
      </c>
      <c r="I411" s="213">
        <v>150</v>
      </c>
      <c r="J411" s="3" t="s">
        <v>647</v>
      </c>
    </row>
    <row r="412" spans="4:10" x14ac:dyDescent="0.25">
      <c r="D412" s="213" t="s">
        <v>60</v>
      </c>
      <c r="E412" s="213">
        <v>4700</v>
      </c>
      <c r="F412" s="213">
        <v>32</v>
      </c>
      <c r="G412" s="213">
        <v>47000</v>
      </c>
      <c r="H412" s="213">
        <v>67000</v>
      </c>
      <c r="I412" s="213">
        <v>150</v>
      </c>
      <c r="J412" s="3" t="s">
        <v>648</v>
      </c>
    </row>
    <row r="413" spans="4:10" x14ac:dyDescent="0.25">
      <c r="D413" s="213" t="s">
        <v>60</v>
      </c>
      <c r="E413" s="213">
        <v>4700</v>
      </c>
      <c r="F413" s="213">
        <v>40</v>
      </c>
      <c r="G413" s="213">
        <v>47000</v>
      </c>
      <c r="H413" s="213">
        <v>67000</v>
      </c>
      <c r="I413" s="213">
        <v>150</v>
      </c>
      <c r="J413" s="3" t="s">
        <v>649</v>
      </c>
    </row>
    <row r="414" spans="4:10" x14ac:dyDescent="0.25">
      <c r="D414" s="213" t="s">
        <v>60</v>
      </c>
      <c r="E414" s="213">
        <v>4700</v>
      </c>
      <c r="F414" s="213">
        <v>50</v>
      </c>
      <c r="G414" s="213">
        <v>47000</v>
      </c>
      <c r="H414" s="213">
        <v>67000</v>
      </c>
      <c r="I414" s="213">
        <v>150</v>
      </c>
      <c r="J414" s="3" t="s">
        <v>650</v>
      </c>
    </row>
    <row r="415" spans="4:10" x14ac:dyDescent="0.25">
      <c r="D415" s="213" t="s">
        <v>60</v>
      </c>
      <c r="E415" s="213">
        <v>4700</v>
      </c>
      <c r="F415" s="213">
        <v>65</v>
      </c>
      <c r="G415" s="213">
        <v>47000</v>
      </c>
      <c r="H415" s="213">
        <v>71000</v>
      </c>
      <c r="I415" s="213">
        <v>150</v>
      </c>
      <c r="J415" s="3" t="s">
        <v>651</v>
      </c>
    </row>
    <row r="416" spans="4:10" x14ac:dyDescent="0.25">
      <c r="D416" s="213" t="s">
        <v>60</v>
      </c>
      <c r="E416" s="213">
        <v>7500</v>
      </c>
      <c r="F416" s="213">
        <v>10</v>
      </c>
      <c r="G416" s="213">
        <v>75000</v>
      </c>
      <c r="H416" s="213">
        <v>98500</v>
      </c>
      <c r="I416" s="213">
        <v>150</v>
      </c>
      <c r="J416" s="3" t="s">
        <v>652</v>
      </c>
    </row>
    <row r="417" spans="4:10" x14ac:dyDescent="0.25">
      <c r="D417" s="213" t="s">
        <v>60</v>
      </c>
      <c r="E417" s="213">
        <v>7500</v>
      </c>
      <c r="F417" s="213">
        <v>16</v>
      </c>
      <c r="G417" s="213">
        <v>75000</v>
      </c>
      <c r="H417" s="213">
        <v>100000</v>
      </c>
      <c r="I417" s="213">
        <v>150</v>
      </c>
      <c r="J417" s="3" t="s">
        <v>653</v>
      </c>
    </row>
    <row r="418" spans="4:10" x14ac:dyDescent="0.25">
      <c r="D418" s="213" t="s">
        <v>60</v>
      </c>
      <c r="E418" s="213">
        <v>7500</v>
      </c>
      <c r="F418" s="213">
        <v>25</v>
      </c>
      <c r="G418" s="213">
        <v>75000</v>
      </c>
      <c r="H418" s="213">
        <v>104000</v>
      </c>
      <c r="I418" s="213">
        <v>150</v>
      </c>
      <c r="J418" s="3" t="s">
        <v>654</v>
      </c>
    </row>
    <row r="419" spans="4:10" x14ac:dyDescent="0.25">
      <c r="D419" s="213" t="s">
        <v>60</v>
      </c>
      <c r="E419" s="213">
        <v>7500</v>
      </c>
      <c r="F419" s="213">
        <v>32</v>
      </c>
      <c r="G419" s="213">
        <v>75000</v>
      </c>
      <c r="H419" s="213">
        <v>102000</v>
      </c>
      <c r="I419" s="213">
        <v>150</v>
      </c>
      <c r="J419" s="3" t="s">
        <v>655</v>
      </c>
    </row>
    <row r="420" spans="4:10" x14ac:dyDescent="0.25">
      <c r="D420" s="213" t="s">
        <v>60</v>
      </c>
      <c r="E420" s="213">
        <v>7500</v>
      </c>
      <c r="F420" s="213">
        <v>40</v>
      </c>
      <c r="G420" s="213">
        <v>75000</v>
      </c>
      <c r="H420" s="213">
        <v>104000</v>
      </c>
      <c r="I420" s="213">
        <v>150</v>
      </c>
      <c r="J420" s="3" t="s">
        <v>656</v>
      </c>
    </row>
    <row r="421" spans="4:10" x14ac:dyDescent="0.25">
      <c r="D421" s="213" t="s">
        <v>60</v>
      </c>
      <c r="E421" s="213">
        <v>7500</v>
      </c>
      <c r="F421" s="213">
        <v>50</v>
      </c>
      <c r="G421" s="213">
        <v>75000</v>
      </c>
      <c r="H421" s="213">
        <v>103000</v>
      </c>
      <c r="I421" s="213">
        <v>150</v>
      </c>
      <c r="J421" s="3" t="s">
        <v>657</v>
      </c>
    </row>
    <row r="422" spans="4:10" x14ac:dyDescent="0.25">
      <c r="D422" s="213" t="s">
        <v>60</v>
      </c>
      <c r="E422" s="213">
        <v>7500</v>
      </c>
      <c r="F422" s="213">
        <v>65</v>
      </c>
      <c r="G422" s="213">
        <v>75000</v>
      </c>
      <c r="H422" s="213">
        <v>111000</v>
      </c>
      <c r="I422" s="213">
        <v>150</v>
      </c>
      <c r="J422" s="3" t="s">
        <v>658</v>
      </c>
    </row>
    <row r="423" spans="4:10" x14ac:dyDescent="0.25">
      <c r="D423" s="213" t="s">
        <v>60</v>
      </c>
      <c r="E423" s="213">
        <v>11800</v>
      </c>
      <c r="F423" s="213">
        <v>10</v>
      </c>
      <c r="G423" s="213">
        <v>118000</v>
      </c>
      <c r="H423" s="213">
        <v>150000</v>
      </c>
      <c r="I423" s="213">
        <v>150</v>
      </c>
      <c r="J423" s="3" t="s">
        <v>659</v>
      </c>
    </row>
    <row r="424" spans="4:10" x14ac:dyDescent="0.25">
      <c r="D424" s="213" t="s">
        <v>60</v>
      </c>
      <c r="E424" s="213">
        <v>11800</v>
      </c>
      <c r="F424" s="213">
        <v>16</v>
      </c>
      <c r="G424" s="213">
        <v>118000</v>
      </c>
      <c r="H424" s="213">
        <v>153000</v>
      </c>
      <c r="I424" s="213">
        <v>150</v>
      </c>
      <c r="J424" s="3" t="s">
        <v>660</v>
      </c>
    </row>
    <row r="425" spans="4:10" x14ac:dyDescent="0.25">
      <c r="D425" s="213" t="s">
        <v>60</v>
      </c>
      <c r="E425" s="213">
        <v>11800</v>
      </c>
      <c r="F425" s="213">
        <v>25</v>
      </c>
      <c r="G425" s="213">
        <v>118000</v>
      </c>
      <c r="H425" s="213">
        <v>160000</v>
      </c>
      <c r="I425" s="213">
        <v>150</v>
      </c>
      <c r="J425" s="3" t="s">
        <v>661</v>
      </c>
    </row>
    <row r="426" spans="4:10" x14ac:dyDescent="0.25">
      <c r="D426" s="213" t="s">
        <v>60</v>
      </c>
      <c r="E426" s="213">
        <v>11800</v>
      </c>
      <c r="F426" s="213">
        <v>32</v>
      </c>
      <c r="G426" s="213">
        <v>118000</v>
      </c>
      <c r="H426" s="213">
        <v>165000</v>
      </c>
      <c r="I426" s="213">
        <v>150</v>
      </c>
      <c r="J426" s="3" t="s">
        <v>662</v>
      </c>
    </row>
    <row r="427" spans="4:10" x14ac:dyDescent="0.25">
      <c r="D427" s="213" t="s">
        <v>60</v>
      </c>
      <c r="E427" s="213">
        <v>11800</v>
      </c>
      <c r="F427" s="213">
        <v>40</v>
      </c>
      <c r="G427" s="213">
        <v>118000</v>
      </c>
      <c r="H427" s="213">
        <v>160000</v>
      </c>
      <c r="I427" s="213">
        <v>150</v>
      </c>
      <c r="J427" s="3" t="s">
        <v>663</v>
      </c>
    </row>
    <row r="428" spans="4:10" x14ac:dyDescent="0.25">
      <c r="D428" s="213" t="s">
        <v>60</v>
      </c>
      <c r="E428" s="213">
        <v>11800</v>
      </c>
      <c r="F428" s="213">
        <v>50</v>
      </c>
      <c r="G428" s="213">
        <v>118000</v>
      </c>
      <c r="H428" s="213">
        <v>161000</v>
      </c>
      <c r="I428" s="213">
        <v>150</v>
      </c>
      <c r="J428" s="3" t="s">
        <v>664</v>
      </c>
    </row>
    <row r="429" spans="4:10" x14ac:dyDescent="0.25">
      <c r="D429" s="213" t="s">
        <v>60</v>
      </c>
      <c r="E429" s="213">
        <v>11800</v>
      </c>
      <c r="F429" s="213">
        <v>65</v>
      </c>
      <c r="G429" s="213">
        <v>118000</v>
      </c>
      <c r="H429" s="213">
        <v>163000</v>
      </c>
      <c r="I429" s="213">
        <v>150</v>
      </c>
      <c r="J429" s="3" t="s">
        <v>665</v>
      </c>
    </row>
    <row r="430" spans="4:10" x14ac:dyDescent="0.25">
      <c r="D430" s="213" t="s">
        <v>60</v>
      </c>
      <c r="E430" s="213">
        <v>18300</v>
      </c>
      <c r="F430" s="213">
        <v>10</v>
      </c>
      <c r="G430" s="213">
        <v>183000</v>
      </c>
      <c r="H430" s="213">
        <v>227000</v>
      </c>
      <c r="I430" s="213">
        <v>150</v>
      </c>
      <c r="J430" s="3" t="s">
        <v>666</v>
      </c>
    </row>
    <row r="431" spans="4:10" x14ac:dyDescent="0.25">
      <c r="D431" s="213" t="s">
        <v>60</v>
      </c>
      <c r="E431" s="213">
        <v>18300</v>
      </c>
      <c r="F431" s="213">
        <v>16</v>
      </c>
      <c r="G431" s="213">
        <v>183000</v>
      </c>
      <c r="H431" s="213">
        <v>233000</v>
      </c>
      <c r="I431" s="213">
        <v>150</v>
      </c>
      <c r="J431" s="3" t="s">
        <v>667</v>
      </c>
    </row>
    <row r="432" spans="4:10" x14ac:dyDescent="0.25">
      <c r="D432" s="213" t="s">
        <v>60</v>
      </c>
      <c r="E432" s="213">
        <v>18300</v>
      </c>
      <c r="F432" s="213">
        <v>25</v>
      </c>
      <c r="G432" s="213">
        <v>183000</v>
      </c>
      <c r="H432" s="213">
        <v>244000</v>
      </c>
      <c r="I432" s="213">
        <v>150</v>
      </c>
      <c r="J432" s="3" t="s">
        <v>668</v>
      </c>
    </row>
    <row r="433" spans="4:10" x14ac:dyDescent="0.25">
      <c r="D433" s="213" t="s">
        <v>60</v>
      </c>
      <c r="E433" s="213">
        <v>18300</v>
      </c>
      <c r="F433" s="213">
        <v>32</v>
      </c>
      <c r="G433" s="213">
        <v>183000</v>
      </c>
      <c r="H433" s="213">
        <v>244000</v>
      </c>
      <c r="I433" s="213">
        <v>150</v>
      </c>
      <c r="J433" s="3" t="s">
        <v>669</v>
      </c>
    </row>
    <row r="434" spans="4:10" x14ac:dyDescent="0.25">
      <c r="D434" s="213" t="s">
        <v>60</v>
      </c>
      <c r="E434" s="213">
        <v>18300</v>
      </c>
      <c r="F434" s="213">
        <v>40</v>
      </c>
      <c r="G434" s="213">
        <v>183000</v>
      </c>
      <c r="H434" s="213">
        <v>244000</v>
      </c>
      <c r="I434" s="213">
        <v>150</v>
      </c>
      <c r="J434" s="3" t="s">
        <v>670</v>
      </c>
    </row>
    <row r="435" spans="4:10" x14ac:dyDescent="0.25">
      <c r="D435" s="213" t="s">
        <v>60</v>
      </c>
      <c r="E435" s="213">
        <v>18300</v>
      </c>
      <c r="F435" s="213">
        <v>50</v>
      </c>
      <c r="G435" s="213">
        <v>183000</v>
      </c>
      <c r="H435" s="213">
        <v>248000</v>
      </c>
      <c r="I435" s="213">
        <v>150</v>
      </c>
      <c r="J435" s="3" t="s">
        <v>671</v>
      </c>
    </row>
    <row r="436" spans="4:10" x14ac:dyDescent="0.25">
      <c r="D436" s="213" t="s">
        <v>60</v>
      </c>
      <c r="E436" s="213">
        <v>18300</v>
      </c>
      <c r="F436" s="213">
        <v>65</v>
      </c>
      <c r="G436" s="213">
        <v>183000</v>
      </c>
      <c r="H436" s="213">
        <v>253000</v>
      </c>
      <c r="I436" s="213">
        <v>150</v>
      </c>
      <c r="J436" s="3" t="s">
        <v>672</v>
      </c>
    </row>
    <row r="437" spans="4:10" x14ac:dyDescent="0.25">
      <c r="D437" s="213" t="s">
        <v>67</v>
      </c>
      <c r="E437" s="213">
        <v>500</v>
      </c>
      <c r="F437" s="213">
        <v>10</v>
      </c>
      <c r="G437" s="213">
        <v>5100</v>
      </c>
      <c r="H437" s="213">
        <v>6600</v>
      </c>
      <c r="I437" s="213">
        <v>200</v>
      </c>
      <c r="J437" s="3" t="s">
        <v>673</v>
      </c>
    </row>
    <row r="438" spans="4:10" x14ac:dyDescent="0.25">
      <c r="D438" s="213" t="s">
        <v>67</v>
      </c>
      <c r="E438" s="213">
        <v>500</v>
      </c>
      <c r="F438" s="213">
        <v>15</v>
      </c>
      <c r="G438" s="213">
        <v>5100</v>
      </c>
      <c r="H438" s="213">
        <v>7100</v>
      </c>
      <c r="I438" s="213">
        <v>200</v>
      </c>
      <c r="J438" s="3" t="s">
        <v>674</v>
      </c>
    </row>
    <row r="439" spans="4:10" x14ac:dyDescent="0.25">
      <c r="D439" s="213" t="s">
        <v>67</v>
      </c>
      <c r="E439" s="213">
        <v>500</v>
      </c>
      <c r="F439" s="213">
        <v>25</v>
      </c>
      <c r="G439" s="213">
        <v>5100</v>
      </c>
      <c r="H439" s="213">
        <v>7900</v>
      </c>
      <c r="I439" s="213">
        <v>200</v>
      </c>
      <c r="J439" s="3" t="s">
        <v>675</v>
      </c>
    </row>
    <row r="440" spans="4:10" x14ac:dyDescent="0.25">
      <c r="D440" s="213" t="s">
        <v>67</v>
      </c>
      <c r="E440" s="213">
        <v>500</v>
      </c>
      <c r="F440" s="213">
        <v>38</v>
      </c>
      <c r="G440" s="213">
        <v>5100</v>
      </c>
      <c r="H440" s="213">
        <v>8700</v>
      </c>
      <c r="I440" s="213">
        <v>200</v>
      </c>
      <c r="J440" s="3" t="s">
        <v>676</v>
      </c>
    </row>
    <row r="441" spans="4:10" x14ac:dyDescent="0.25">
      <c r="D441" s="213" t="s">
        <v>67</v>
      </c>
      <c r="E441" s="213">
        <v>500</v>
      </c>
      <c r="F441" s="213">
        <v>50</v>
      </c>
      <c r="G441" s="213">
        <v>5100</v>
      </c>
      <c r="H441" s="213">
        <v>9100</v>
      </c>
      <c r="I441" s="213">
        <v>200</v>
      </c>
      <c r="J441" s="3" t="s">
        <v>677</v>
      </c>
    </row>
    <row r="442" spans="4:10" x14ac:dyDescent="0.25">
      <c r="D442" s="213" t="s">
        <v>67</v>
      </c>
      <c r="E442" s="213">
        <v>500</v>
      </c>
      <c r="F442" s="213">
        <v>63</v>
      </c>
      <c r="G442" s="213">
        <v>5100</v>
      </c>
      <c r="H442" s="213">
        <v>8800</v>
      </c>
      <c r="I442" s="213">
        <v>200</v>
      </c>
      <c r="J442" s="3" t="s">
        <v>678</v>
      </c>
    </row>
    <row r="443" spans="4:10" x14ac:dyDescent="0.25">
      <c r="D443" s="213" t="s">
        <v>67</v>
      </c>
      <c r="E443" s="213">
        <v>500</v>
      </c>
      <c r="F443" s="213">
        <v>80</v>
      </c>
      <c r="G443" s="213">
        <v>5100</v>
      </c>
      <c r="H443" s="213">
        <v>9200</v>
      </c>
      <c r="I443" s="213">
        <v>200</v>
      </c>
      <c r="J443" s="3" t="s">
        <v>679</v>
      </c>
    </row>
    <row r="444" spans="4:10" x14ac:dyDescent="0.25">
      <c r="D444" s="213" t="s">
        <v>67</v>
      </c>
      <c r="E444" s="213">
        <v>1000</v>
      </c>
      <c r="F444" s="213">
        <v>10</v>
      </c>
      <c r="G444" s="213">
        <v>9800</v>
      </c>
      <c r="H444" s="213">
        <v>13300</v>
      </c>
      <c r="I444" s="213">
        <v>200</v>
      </c>
      <c r="J444" s="3" t="s">
        <v>680</v>
      </c>
    </row>
    <row r="445" spans="4:10" x14ac:dyDescent="0.25">
      <c r="D445" s="213" t="s">
        <v>67</v>
      </c>
      <c r="E445" s="213">
        <v>1000</v>
      </c>
      <c r="F445" s="213">
        <v>15</v>
      </c>
      <c r="G445" s="213">
        <v>9800</v>
      </c>
      <c r="H445" s="213">
        <v>14400</v>
      </c>
      <c r="I445" s="213">
        <v>200</v>
      </c>
      <c r="J445" s="3" t="s">
        <v>681</v>
      </c>
    </row>
    <row r="446" spans="4:10" x14ac:dyDescent="0.25">
      <c r="D446" s="213" t="s">
        <v>67</v>
      </c>
      <c r="E446" s="213">
        <v>1000</v>
      </c>
      <c r="F446" s="213">
        <v>25</v>
      </c>
      <c r="G446" s="213">
        <v>9800</v>
      </c>
      <c r="H446" s="213">
        <v>16100</v>
      </c>
      <c r="I446" s="213">
        <v>200</v>
      </c>
      <c r="J446" s="3" t="s">
        <v>682</v>
      </c>
    </row>
    <row r="447" spans="4:10" x14ac:dyDescent="0.25">
      <c r="D447" s="213" t="s">
        <v>67</v>
      </c>
      <c r="E447" s="213">
        <v>1000</v>
      </c>
      <c r="F447" s="213">
        <v>38</v>
      </c>
      <c r="G447" s="213">
        <v>9800</v>
      </c>
      <c r="H447" s="213">
        <v>16900</v>
      </c>
      <c r="I447" s="213">
        <v>200</v>
      </c>
      <c r="J447" s="3" t="s">
        <v>683</v>
      </c>
    </row>
    <row r="448" spans="4:10" x14ac:dyDescent="0.25">
      <c r="D448" s="213" t="s">
        <v>67</v>
      </c>
      <c r="E448" s="213">
        <v>1000</v>
      </c>
      <c r="F448" s="213">
        <v>50</v>
      </c>
      <c r="G448" s="213">
        <v>9800</v>
      </c>
      <c r="H448" s="213">
        <v>17700</v>
      </c>
      <c r="I448" s="213">
        <v>200</v>
      </c>
      <c r="J448" s="3" t="s">
        <v>684</v>
      </c>
    </row>
    <row r="449" spans="4:10" x14ac:dyDescent="0.25">
      <c r="D449" s="213" t="s">
        <v>67</v>
      </c>
      <c r="E449" s="213">
        <v>1000</v>
      </c>
      <c r="F449" s="213">
        <v>63</v>
      </c>
      <c r="G449" s="213">
        <v>9800</v>
      </c>
      <c r="H449" s="213">
        <v>16500</v>
      </c>
      <c r="I449" s="213">
        <v>200</v>
      </c>
      <c r="J449" s="3" t="s">
        <v>685</v>
      </c>
    </row>
    <row r="450" spans="4:10" x14ac:dyDescent="0.25">
      <c r="D450" s="213" t="s">
        <v>67</v>
      </c>
      <c r="E450" s="213">
        <v>1000</v>
      </c>
      <c r="F450" s="213">
        <v>80</v>
      </c>
      <c r="G450" s="213">
        <v>9800</v>
      </c>
      <c r="H450" s="213">
        <v>17300</v>
      </c>
      <c r="I450" s="213">
        <v>200</v>
      </c>
      <c r="J450" s="3" t="s">
        <v>686</v>
      </c>
    </row>
    <row r="451" spans="4:10" x14ac:dyDescent="0.25">
      <c r="D451" s="213" t="s">
        <v>67</v>
      </c>
      <c r="E451" s="213">
        <v>1900</v>
      </c>
      <c r="F451" s="213">
        <v>10</v>
      </c>
      <c r="G451" s="213">
        <v>19200</v>
      </c>
      <c r="H451" s="213">
        <v>26300</v>
      </c>
      <c r="I451" s="213">
        <v>200</v>
      </c>
      <c r="J451" s="3" t="s">
        <v>687</v>
      </c>
    </row>
    <row r="452" spans="4:10" x14ac:dyDescent="0.25">
      <c r="D452" s="213" t="s">
        <v>67</v>
      </c>
      <c r="E452" s="213">
        <v>1900</v>
      </c>
      <c r="F452" s="213">
        <v>15</v>
      </c>
      <c r="G452" s="213">
        <v>19200</v>
      </c>
      <c r="H452" s="213">
        <v>31800</v>
      </c>
      <c r="I452" s="213">
        <v>200</v>
      </c>
      <c r="J452" s="3" t="s">
        <v>688</v>
      </c>
    </row>
    <row r="453" spans="4:10" x14ac:dyDescent="0.25">
      <c r="D453" s="213" t="s">
        <v>67</v>
      </c>
      <c r="E453" s="213">
        <v>1900</v>
      </c>
      <c r="F453" s="213">
        <v>25</v>
      </c>
      <c r="G453" s="213">
        <v>19200</v>
      </c>
      <c r="H453" s="213">
        <v>30900</v>
      </c>
      <c r="I453" s="213">
        <v>200</v>
      </c>
      <c r="J453" s="3" t="s">
        <v>689</v>
      </c>
    </row>
    <row r="454" spans="4:10" x14ac:dyDescent="0.25">
      <c r="D454" s="213" t="s">
        <v>67</v>
      </c>
      <c r="E454" s="213">
        <v>1900</v>
      </c>
      <c r="F454" s="213">
        <v>38</v>
      </c>
      <c r="G454" s="213">
        <v>19200</v>
      </c>
      <c r="H454" s="213">
        <v>31900</v>
      </c>
      <c r="I454" s="213">
        <v>200</v>
      </c>
      <c r="J454" s="3" t="s">
        <v>690</v>
      </c>
    </row>
    <row r="455" spans="4:10" x14ac:dyDescent="0.25">
      <c r="D455" s="213" t="s">
        <v>67</v>
      </c>
      <c r="E455" s="213">
        <v>1900</v>
      </c>
      <c r="F455" s="213">
        <v>50</v>
      </c>
      <c r="G455" s="213">
        <v>19200</v>
      </c>
      <c r="H455" s="213">
        <v>33800</v>
      </c>
      <c r="I455" s="213">
        <v>200</v>
      </c>
      <c r="J455" s="3" t="s">
        <v>691</v>
      </c>
    </row>
    <row r="456" spans="4:10" x14ac:dyDescent="0.25">
      <c r="D456" s="213" t="s">
        <v>67</v>
      </c>
      <c r="E456" s="213">
        <v>1900</v>
      </c>
      <c r="F456" s="213">
        <v>63</v>
      </c>
      <c r="G456" s="213">
        <v>19200</v>
      </c>
      <c r="H456" s="213">
        <v>34800</v>
      </c>
      <c r="I456" s="213">
        <v>200</v>
      </c>
      <c r="J456" s="3" t="s">
        <v>692</v>
      </c>
    </row>
    <row r="457" spans="4:10" x14ac:dyDescent="0.25">
      <c r="D457" s="213" t="s">
        <v>67</v>
      </c>
      <c r="E457" s="213">
        <v>1900</v>
      </c>
      <c r="F457" s="213">
        <v>80</v>
      </c>
      <c r="G457" s="213">
        <v>19200</v>
      </c>
      <c r="H457" s="213">
        <v>35600</v>
      </c>
      <c r="I457" s="213">
        <v>200</v>
      </c>
      <c r="J457" s="3" t="s">
        <v>693</v>
      </c>
    </row>
    <row r="458" spans="4:10" x14ac:dyDescent="0.25">
      <c r="D458" s="213" t="s">
        <v>64</v>
      </c>
      <c r="E458" s="213">
        <v>500</v>
      </c>
      <c r="F458" s="213">
        <v>6</v>
      </c>
      <c r="G458" s="213">
        <v>4700</v>
      </c>
      <c r="H458" s="213">
        <v>5600</v>
      </c>
      <c r="I458" s="213">
        <v>150</v>
      </c>
      <c r="J458" s="3" t="s">
        <v>694</v>
      </c>
    </row>
    <row r="459" spans="4:10" x14ac:dyDescent="0.25">
      <c r="D459" s="213" t="s">
        <v>64</v>
      </c>
      <c r="E459" s="213">
        <v>500</v>
      </c>
      <c r="F459" s="213">
        <v>12.5</v>
      </c>
      <c r="G459" s="213">
        <v>4700</v>
      </c>
      <c r="H459" s="213">
        <v>5900</v>
      </c>
      <c r="I459" s="213">
        <v>150</v>
      </c>
      <c r="J459" s="3" t="s">
        <v>695</v>
      </c>
    </row>
    <row r="460" spans="4:10" x14ac:dyDescent="0.25">
      <c r="D460" s="213" t="s">
        <v>64</v>
      </c>
      <c r="E460" s="213">
        <v>500</v>
      </c>
      <c r="F460" s="213">
        <v>19</v>
      </c>
      <c r="G460" s="213">
        <v>4700</v>
      </c>
      <c r="H460" s="213">
        <v>6100</v>
      </c>
      <c r="I460" s="213">
        <v>150</v>
      </c>
      <c r="J460" s="3" t="s">
        <v>696</v>
      </c>
    </row>
    <row r="461" spans="4:10" x14ac:dyDescent="0.25">
      <c r="D461" s="213" t="s">
        <v>64</v>
      </c>
      <c r="E461" s="213">
        <v>500</v>
      </c>
      <c r="F461" s="213">
        <v>25</v>
      </c>
      <c r="G461" s="213">
        <v>4700</v>
      </c>
      <c r="H461" s="213">
        <v>6100</v>
      </c>
      <c r="I461" s="213">
        <v>150</v>
      </c>
      <c r="J461" s="3" t="s">
        <v>697</v>
      </c>
    </row>
    <row r="462" spans="4:10" x14ac:dyDescent="0.25">
      <c r="D462" s="213" t="s">
        <v>64</v>
      </c>
      <c r="E462" s="213">
        <v>500</v>
      </c>
      <c r="F462" s="213">
        <v>38.1</v>
      </c>
      <c r="G462" s="213">
        <v>4700</v>
      </c>
      <c r="H462" s="213">
        <v>6200</v>
      </c>
      <c r="I462" s="213">
        <v>150</v>
      </c>
      <c r="J462" s="3" t="s">
        <v>698</v>
      </c>
    </row>
    <row r="463" spans="4:10" x14ac:dyDescent="0.25">
      <c r="D463" s="213" t="s">
        <v>64</v>
      </c>
      <c r="E463" s="213">
        <v>500</v>
      </c>
      <c r="F463" s="213">
        <v>50</v>
      </c>
      <c r="G463" s="213">
        <v>4700</v>
      </c>
      <c r="H463" s="213">
        <v>6300</v>
      </c>
      <c r="I463" s="213">
        <v>150</v>
      </c>
      <c r="J463" s="3" t="s">
        <v>699</v>
      </c>
    </row>
    <row r="464" spans="4:10" x14ac:dyDescent="0.25">
      <c r="D464" s="213" t="s">
        <v>64</v>
      </c>
      <c r="E464" s="213">
        <v>500</v>
      </c>
      <c r="F464" s="213">
        <v>63.5</v>
      </c>
      <c r="G464" s="213">
        <v>4700</v>
      </c>
      <c r="H464" s="213">
        <v>6300</v>
      </c>
      <c r="I464" s="213">
        <v>150</v>
      </c>
      <c r="J464" s="3" t="s">
        <v>700</v>
      </c>
    </row>
    <row r="465" spans="4:10" x14ac:dyDescent="0.25">
      <c r="D465" s="213" t="s">
        <v>64</v>
      </c>
      <c r="E465" s="213">
        <v>500</v>
      </c>
      <c r="F465" s="213">
        <v>80</v>
      </c>
      <c r="G465" s="213">
        <v>4700</v>
      </c>
      <c r="H465" s="213">
        <v>6600</v>
      </c>
      <c r="I465" s="213">
        <v>150</v>
      </c>
      <c r="J465" s="3" t="s">
        <v>701</v>
      </c>
    </row>
    <row r="466" spans="4:10" x14ac:dyDescent="0.25">
      <c r="D466" s="213" t="s">
        <v>64</v>
      </c>
      <c r="E466" s="213">
        <v>500</v>
      </c>
      <c r="F466" s="213">
        <v>100</v>
      </c>
      <c r="G466" s="213">
        <v>4700</v>
      </c>
      <c r="H466" s="213">
        <v>6600</v>
      </c>
      <c r="I466" s="213">
        <v>150</v>
      </c>
      <c r="J466" s="3" t="s">
        <v>702</v>
      </c>
    </row>
    <row r="467" spans="4:10" x14ac:dyDescent="0.25">
      <c r="D467" s="213" t="s">
        <v>64</v>
      </c>
      <c r="E467" s="213">
        <v>500</v>
      </c>
      <c r="F467" s="213">
        <v>125</v>
      </c>
      <c r="G467" s="213">
        <v>4700</v>
      </c>
      <c r="H467" s="213">
        <v>6600</v>
      </c>
      <c r="I467" s="213">
        <v>150</v>
      </c>
      <c r="J467" s="3" t="s">
        <v>703</v>
      </c>
    </row>
    <row r="468" spans="4:10" x14ac:dyDescent="0.25">
      <c r="D468" s="213" t="s">
        <v>64</v>
      </c>
      <c r="E468" s="213">
        <v>750</v>
      </c>
      <c r="F468" s="213">
        <v>6</v>
      </c>
      <c r="G468" s="213">
        <v>7400</v>
      </c>
      <c r="H468" s="213">
        <v>15000</v>
      </c>
      <c r="I468" s="213">
        <v>150</v>
      </c>
      <c r="J468" s="3" t="s">
        <v>704</v>
      </c>
    </row>
    <row r="469" spans="4:10" x14ac:dyDescent="0.25">
      <c r="D469" s="213" t="s">
        <v>64</v>
      </c>
      <c r="E469" s="213">
        <v>750</v>
      </c>
      <c r="F469" s="213">
        <v>12.5</v>
      </c>
      <c r="G469" s="213">
        <v>7400</v>
      </c>
      <c r="H469" s="213">
        <v>13000</v>
      </c>
      <c r="I469" s="213">
        <v>150</v>
      </c>
      <c r="J469" s="3" t="s">
        <v>705</v>
      </c>
    </row>
    <row r="470" spans="4:10" x14ac:dyDescent="0.25">
      <c r="D470" s="213" t="s">
        <v>64</v>
      </c>
      <c r="E470" s="213">
        <v>750</v>
      </c>
      <c r="F470" s="213">
        <v>19</v>
      </c>
      <c r="G470" s="213">
        <v>7400</v>
      </c>
      <c r="H470" s="213">
        <v>12000</v>
      </c>
      <c r="I470" s="213">
        <v>150</v>
      </c>
      <c r="J470" s="3" t="s">
        <v>706</v>
      </c>
    </row>
    <row r="471" spans="4:10" x14ac:dyDescent="0.25">
      <c r="D471" s="213" t="s">
        <v>64</v>
      </c>
      <c r="E471" s="213">
        <v>750</v>
      </c>
      <c r="F471" s="213">
        <v>25</v>
      </c>
      <c r="G471" s="213">
        <v>7400</v>
      </c>
      <c r="H471" s="213">
        <v>11000</v>
      </c>
      <c r="I471" s="213">
        <v>150</v>
      </c>
      <c r="J471" s="3" t="s">
        <v>707</v>
      </c>
    </row>
    <row r="472" spans="4:10" x14ac:dyDescent="0.25">
      <c r="D472" s="213" t="s">
        <v>64</v>
      </c>
      <c r="E472" s="213">
        <v>750</v>
      </c>
      <c r="F472" s="213">
        <v>38.1</v>
      </c>
      <c r="G472" s="213">
        <v>7400</v>
      </c>
      <c r="H472" s="213">
        <v>11000</v>
      </c>
      <c r="I472" s="213">
        <v>150</v>
      </c>
      <c r="J472" s="3" t="s">
        <v>708</v>
      </c>
    </row>
    <row r="473" spans="4:10" x14ac:dyDescent="0.25">
      <c r="D473" s="213" t="s">
        <v>64</v>
      </c>
      <c r="E473" s="213">
        <v>750</v>
      </c>
      <c r="F473" s="213">
        <v>50</v>
      </c>
      <c r="G473" s="213">
        <v>7400</v>
      </c>
      <c r="H473" s="213">
        <v>11000</v>
      </c>
      <c r="I473" s="213">
        <v>150</v>
      </c>
      <c r="J473" s="3" t="s">
        <v>709</v>
      </c>
    </row>
    <row r="474" spans="4:10" x14ac:dyDescent="0.25">
      <c r="D474" s="213" t="s">
        <v>64</v>
      </c>
      <c r="E474" s="213">
        <v>750</v>
      </c>
      <c r="F474" s="213">
        <v>63.5</v>
      </c>
      <c r="G474" s="213">
        <v>7400</v>
      </c>
      <c r="H474" s="213">
        <v>11000</v>
      </c>
      <c r="I474" s="213">
        <v>150</v>
      </c>
      <c r="J474" s="3" t="s">
        <v>710</v>
      </c>
    </row>
    <row r="475" spans="4:10" x14ac:dyDescent="0.25">
      <c r="D475" s="213" t="s">
        <v>64</v>
      </c>
      <c r="E475" s="213">
        <v>750</v>
      </c>
      <c r="F475" s="213">
        <v>80</v>
      </c>
      <c r="G475" s="213">
        <v>7400</v>
      </c>
      <c r="H475" s="213">
        <v>11000</v>
      </c>
      <c r="I475" s="213">
        <v>150</v>
      </c>
      <c r="J475" s="3" t="s">
        <v>711</v>
      </c>
    </row>
    <row r="476" spans="4:10" x14ac:dyDescent="0.25">
      <c r="D476" s="213" t="s">
        <v>64</v>
      </c>
      <c r="E476" s="213">
        <v>750</v>
      </c>
      <c r="F476" s="213">
        <v>100</v>
      </c>
      <c r="G476" s="213">
        <v>7400</v>
      </c>
      <c r="H476" s="213">
        <v>11000</v>
      </c>
      <c r="I476" s="213">
        <v>150</v>
      </c>
      <c r="J476" s="3" t="s">
        <v>712</v>
      </c>
    </row>
    <row r="477" spans="4:10" x14ac:dyDescent="0.25">
      <c r="D477" s="213" t="s">
        <v>64</v>
      </c>
      <c r="E477" s="213">
        <v>750</v>
      </c>
      <c r="F477" s="213">
        <v>125</v>
      </c>
      <c r="G477" s="213">
        <v>7400</v>
      </c>
      <c r="H477" s="213">
        <v>11000</v>
      </c>
      <c r="I477" s="213">
        <v>150</v>
      </c>
      <c r="J477" s="3" t="s">
        <v>713</v>
      </c>
    </row>
    <row r="478" spans="4:10" x14ac:dyDescent="0.25">
      <c r="D478" s="213" t="s">
        <v>64</v>
      </c>
      <c r="E478" s="213">
        <v>1500</v>
      </c>
      <c r="F478" s="213">
        <v>25</v>
      </c>
      <c r="G478" s="213">
        <v>15000</v>
      </c>
      <c r="H478" s="213">
        <v>24000</v>
      </c>
      <c r="I478" s="213">
        <v>150</v>
      </c>
      <c r="J478" s="3" t="s">
        <v>714</v>
      </c>
    </row>
    <row r="479" spans="4:10" x14ac:dyDescent="0.25">
      <c r="D479" s="213" t="s">
        <v>64</v>
      </c>
      <c r="E479" s="213">
        <v>1500</v>
      </c>
      <c r="F479" s="213">
        <v>38.1</v>
      </c>
      <c r="G479" s="213">
        <v>15000</v>
      </c>
      <c r="H479" s="213">
        <v>23000</v>
      </c>
      <c r="I479" s="213">
        <v>150</v>
      </c>
      <c r="J479" s="3" t="s">
        <v>715</v>
      </c>
    </row>
    <row r="480" spans="4:10" x14ac:dyDescent="0.25">
      <c r="D480" s="213" t="s">
        <v>64</v>
      </c>
      <c r="E480" s="213">
        <v>1500</v>
      </c>
      <c r="F480" s="213">
        <v>50</v>
      </c>
      <c r="G480" s="213">
        <v>15000</v>
      </c>
      <c r="H480" s="213">
        <v>23000</v>
      </c>
      <c r="I480" s="213">
        <v>150</v>
      </c>
      <c r="J480" s="3" t="s">
        <v>716</v>
      </c>
    </row>
    <row r="481" spans="4:10" x14ac:dyDescent="0.25">
      <c r="D481" s="213" t="s">
        <v>64</v>
      </c>
      <c r="E481" s="213">
        <v>1500</v>
      </c>
      <c r="F481" s="213">
        <v>63.5</v>
      </c>
      <c r="G481" s="213">
        <v>15000</v>
      </c>
      <c r="H481" s="213">
        <v>23000</v>
      </c>
      <c r="I481" s="213">
        <v>150</v>
      </c>
      <c r="J481" s="3" t="s">
        <v>717</v>
      </c>
    </row>
    <row r="482" spans="4:10" x14ac:dyDescent="0.25">
      <c r="D482" s="213" t="s">
        <v>64</v>
      </c>
      <c r="E482" s="213">
        <v>1500</v>
      </c>
      <c r="F482" s="213">
        <v>80</v>
      </c>
      <c r="G482" s="213">
        <v>15000</v>
      </c>
      <c r="H482" s="213">
        <v>23000</v>
      </c>
      <c r="I482" s="213">
        <v>150</v>
      </c>
      <c r="J482" s="3" t="s">
        <v>718</v>
      </c>
    </row>
    <row r="483" spans="4:10" x14ac:dyDescent="0.25">
      <c r="D483" s="213" t="s">
        <v>64</v>
      </c>
      <c r="E483" s="213">
        <v>1500</v>
      </c>
      <c r="F483" s="213">
        <v>100</v>
      </c>
      <c r="G483" s="213">
        <v>15000</v>
      </c>
      <c r="H483" s="213">
        <v>23000</v>
      </c>
      <c r="I483" s="213">
        <v>150</v>
      </c>
      <c r="J483" s="3" t="s">
        <v>719</v>
      </c>
    </row>
    <row r="484" spans="4:10" x14ac:dyDescent="0.25">
      <c r="D484" s="213" t="s">
        <v>71</v>
      </c>
      <c r="E484" s="213">
        <v>750</v>
      </c>
      <c r="F484" s="213">
        <v>12.7</v>
      </c>
      <c r="G484" s="213">
        <v>7400</v>
      </c>
      <c r="H484" s="213">
        <v>12000</v>
      </c>
      <c r="I484" s="213">
        <v>150</v>
      </c>
      <c r="J484" s="3" t="s">
        <v>720</v>
      </c>
    </row>
    <row r="485" spans="4:10" x14ac:dyDescent="0.25">
      <c r="D485" s="213" t="s">
        <v>71</v>
      </c>
      <c r="E485" s="213">
        <v>750</v>
      </c>
      <c r="F485" s="213">
        <v>25</v>
      </c>
      <c r="G485" s="213">
        <v>7400</v>
      </c>
      <c r="H485" s="213">
        <v>12000</v>
      </c>
      <c r="I485" s="213">
        <v>150</v>
      </c>
      <c r="J485" s="3" t="s">
        <v>721</v>
      </c>
    </row>
    <row r="486" spans="4:10" x14ac:dyDescent="0.25">
      <c r="D486" s="213" t="s">
        <v>71</v>
      </c>
      <c r="E486" s="213">
        <v>750</v>
      </c>
      <c r="F486" s="213">
        <v>38.1</v>
      </c>
      <c r="G486" s="213">
        <v>7400</v>
      </c>
      <c r="H486" s="213">
        <v>12000</v>
      </c>
      <c r="I486" s="213">
        <v>150</v>
      </c>
      <c r="J486" s="3" t="s">
        <v>722</v>
      </c>
    </row>
    <row r="487" spans="4:10" x14ac:dyDescent="0.25">
      <c r="D487" s="213" t="s">
        <v>71</v>
      </c>
      <c r="E487" s="213">
        <v>750</v>
      </c>
      <c r="F487" s="213">
        <v>50</v>
      </c>
      <c r="G487" s="213">
        <v>7400</v>
      </c>
      <c r="H487" s="213">
        <v>12000</v>
      </c>
      <c r="I487" s="213">
        <v>150</v>
      </c>
      <c r="J487" s="3" t="s">
        <v>723</v>
      </c>
    </row>
    <row r="488" spans="4:10" x14ac:dyDescent="0.25">
      <c r="D488" s="213" t="s">
        <v>71</v>
      </c>
      <c r="E488" s="213">
        <v>750</v>
      </c>
      <c r="F488" s="213">
        <v>63.5</v>
      </c>
      <c r="G488" s="213">
        <v>7400</v>
      </c>
      <c r="H488" s="213">
        <v>12000</v>
      </c>
      <c r="I488" s="213">
        <v>150</v>
      </c>
      <c r="J488" s="3" t="s">
        <v>724</v>
      </c>
    </row>
    <row r="489" spans="4:10" x14ac:dyDescent="0.25">
      <c r="D489" s="213" t="s">
        <v>71</v>
      </c>
      <c r="E489" s="213">
        <v>750</v>
      </c>
      <c r="F489" s="213">
        <v>80</v>
      </c>
      <c r="G489" s="213">
        <v>7400</v>
      </c>
      <c r="H489" s="213">
        <v>12000</v>
      </c>
      <c r="I489" s="213">
        <v>150</v>
      </c>
      <c r="J489" s="3" t="s">
        <v>725</v>
      </c>
    </row>
    <row r="490" spans="4:10" x14ac:dyDescent="0.25">
      <c r="D490" s="213" t="s">
        <v>71</v>
      </c>
      <c r="E490" s="213">
        <v>750</v>
      </c>
      <c r="F490" s="213">
        <v>100</v>
      </c>
      <c r="G490" s="213">
        <v>7400</v>
      </c>
      <c r="H490" s="213">
        <v>12000</v>
      </c>
      <c r="I490" s="213">
        <v>150</v>
      </c>
      <c r="J490" s="3" t="s">
        <v>726</v>
      </c>
    </row>
    <row r="491" spans="4:10" x14ac:dyDescent="0.25">
      <c r="D491" s="213" t="s">
        <v>71</v>
      </c>
      <c r="E491" s="213">
        <v>750</v>
      </c>
      <c r="F491" s="213">
        <v>125</v>
      </c>
      <c r="G491" s="213">
        <v>7400</v>
      </c>
      <c r="H491" s="213">
        <v>12100</v>
      </c>
      <c r="I491" s="213">
        <v>150</v>
      </c>
      <c r="J491" s="3" t="s">
        <v>727</v>
      </c>
    </row>
    <row r="492" spans="4:10" x14ac:dyDescent="0.25">
      <c r="D492" s="213" t="s">
        <v>71</v>
      </c>
      <c r="E492" s="213">
        <v>750</v>
      </c>
      <c r="F492" s="213">
        <v>160</v>
      </c>
      <c r="G492" s="213">
        <v>7400</v>
      </c>
      <c r="H492" s="213">
        <v>12100</v>
      </c>
      <c r="I492" s="213">
        <v>150</v>
      </c>
      <c r="J492" s="3" t="s">
        <v>728</v>
      </c>
    </row>
    <row r="493" spans="4:10" x14ac:dyDescent="0.25">
      <c r="D493" s="213" t="s">
        <v>71</v>
      </c>
      <c r="E493" s="213">
        <v>750</v>
      </c>
      <c r="F493" s="213">
        <v>200</v>
      </c>
      <c r="G493" s="213">
        <v>7400</v>
      </c>
      <c r="H493" s="213">
        <v>12100</v>
      </c>
      <c r="I493" s="213">
        <v>150</v>
      </c>
      <c r="J493" s="3" t="s">
        <v>729</v>
      </c>
    </row>
    <row r="494" spans="4:10" x14ac:dyDescent="0.25">
      <c r="D494" s="213" t="s">
        <v>71</v>
      </c>
      <c r="E494" s="213">
        <v>750</v>
      </c>
      <c r="F494" s="213">
        <v>250</v>
      </c>
      <c r="G494" s="213">
        <v>7400</v>
      </c>
      <c r="H494" s="213">
        <v>12100</v>
      </c>
      <c r="I494" s="213">
        <v>150</v>
      </c>
      <c r="J494" s="3" t="s">
        <v>730</v>
      </c>
    </row>
    <row r="495" spans="4:10" x14ac:dyDescent="0.25">
      <c r="D495" s="213" t="s">
        <v>71</v>
      </c>
      <c r="E495" s="213">
        <v>750</v>
      </c>
      <c r="F495" s="213">
        <v>300</v>
      </c>
      <c r="G495" s="213">
        <v>7400</v>
      </c>
      <c r="H495" s="213">
        <v>12100</v>
      </c>
      <c r="I495" s="213">
        <v>150</v>
      </c>
      <c r="J495" s="3" t="s">
        <v>731</v>
      </c>
    </row>
    <row r="496" spans="4:10" x14ac:dyDescent="0.25">
      <c r="D496" s="213" t="s">
        <v>71</v>
      </c>
      <c r="E496" s="213">
        <v>1500</v>
      </c>
      <c r="F496" s="213">
        <v>25</v>
      </c>
      <c r="G496" s="213">
        <v>15000</v>
      </c>
      <c r="H496" s="213">
        <v>23000</v>
      </c>
      <c r="I496" s="213">
        <v>150</v>
      </c>
      <c r="J496" s="3" t="s">
        <v>732</v>
      </c>
    </row>
    <row r="497" spans="4:10" x14ac:dyDescent="0.25">
      <c r="D497" s="213" t="s">
        <v>71</v>
      </c>
      <c r="E497" s="213">
        <v>1500</v>
      </c>
      <c r="F497" s="213">
        <v>38.1</v>
      </c>
      <c r="G497" s="213">
        <v>15000</v>
      </c>
      <c r="H497" s="213">
        <v>23000</v>
      </c>
      <c r="I497" s="213">
        <v>150</v>
      </c>
      <c r="J497" s="3" t="s">
        <v>733</v>
      </c>
    </row>
    <row r="498" spans="4:10" x14ac:dyDescent="0.25">
      <c r="D498" s="213" t="s">
        <v>71</v>
      </c>
      <c r="E498" s="213">
        <v>1500</v>
      </c>
      <c r="F498" s="213">
        <v>50</v>
      </c>
      <c r="G498" s="213">
        <v>15000</v>
      </c>
      <c r="H498" s="213">
        <v>23000</v>
      </c>
      <c r="I498" s="213">
        <v>150</v>
      </c>
      <c r="J498" s="3" t="s">
        <v>734</v>
      </c>
    </row>
    <row r="499" spans="4:10" x14ac:dyDescent="0.25">
      <c r="D499" s="213" t="s">
        <v>71</v>
      </c>
      <c r="E499" s="213">
        <v>1500</v>
      </c>
      <c r="F499" s="213">
        <v>63.5</v>
      </c>
      <c r="G499" s="213">
        <v>15000</v>
      </c>
      <c r="H499" s="213">
        <v>23000</v>
      </c>
      <c r="I499" s="213">
        <v>150</v>
      </c>
      <c r="J499" s="3" t="s">
        <v>735</v>
      </c>
    </row>
    <row r="500" spans="4:10" x14ac:dyDescent="0.25">
      <c r="D500" s="213" t="s">
        <v>71</v>
      </c>
      <c r="E500" s="213">
        <v>1500</v>
      </c>
      <c r="F500" s="213">
        <v>80</v>
      </c>
      <c r="G500" s="213">
        <v>15000</v>
      </c>
      <c r="H500" s="213">
        <v>23000</v>
      </c>
      <c r="I500" s="213">
        <v>150</v>
      </c>
      <c r="J500" s="3" t="s">
        <v>736</v>
      </c>
    </row>
    <row r="501" spans="4:10" x14ac:dyDescent="0.25">
      <c r="D501" s="213" t="s">
        <v>71</v>
      </c>
      <c r="E501" s="213">
        <v>1500</v>
      </c>
      <c r="F501" s="213">
        <v>100</v>
      </c>
      <c r="G501" s="213">
        <v>15000</v>
      </c>
      <c r="H501" s="213">
        <v>23000</v>
      </c>
      <c r="I501" s="213">
        <v>150</v>
      </c>
      <c r="J501" s="3" t="s">
        <v>737</v>
      </c>
    </row>
    <row r="502" spans="4:10" x14ac:dyDescent="0.25">
      <c r="D502" s="213" t="s">
        <v>71</v>
      </c>
      <c r="E502" s="213">
        <v>1500</v>
      </c>
      <c r="F502" s="213">
        <v>125</v>
      </c>
      <c r="G502" s="213">
        <v>15000</v>
      </c>
      <c r="H502" s="213">
        <v>23000</v>
      </c>
      <c r="I502" s="213">
        <v>150</v>
      </c>
      <c r="J502" s="3" t="s">
        <v>738</v>
      </c>
    </row>
    <row r="503" spans="4:10" x14ac:dyDescent="0.25">
      <c r="D503" s="213" t="s">
        <v>71</v>
      </c>
      <c r="E503" s="213">
        <v>1500</v>
      </c>
      <c r="F503" s="213">
        <v>160</v>
      </c>
      <c r="G503" s="213">
        <v>15000</v>
      </c>
      <c r="H503" s="213">
        <v>23000</v>
      </c>
      <c r="I503" s="213">
        <v>150</v>
      </c>
      <c r="J503" s="3" t="s">
        <v>739</v>
      </c>
    </row>
    <row r="504" spans="4:10" x14ac:dyDescent="0.25">
      <c r="D504" s="213" t="s">
        <v>71</v>
      </c>
      <c r="E504" s="213">
        <v>1500</v>
      </c>
      <c r="F504" s="213">
        <v>200</v>
      </c>
      <c r="G504" s="213">
        <v>15000</v>
      </c>
      <c r="H504" s="213">
        <v>23000</v>
      </c>
      <c r="I504" s="213">
        <v>150</v>
      </c>
      <c r="J504" s="3" t="s">
        <v>740</v>
      </c>
    </row>
    <row r="505" spans="4:10" x14ac:dyDescent="0.25">
      <c r="D505" s="213" t="s">
        <v>71</v>
      </c>
      <c r="E505" s="213">
        <v>1500</v>
      </c>
      <c r="F505" s="213">
        <v>250</v>
      </c>
      <c r="G505" s="213">
        <v>15000</v>
      </c>
      <c r="H505" s="213">
        <v>23000</v>
      </c>
      <c r="I505" s="213">
        <v>150</v>
      </c>
      <c r="J505" s="3" t="s">
        <v>741</v>
      </c>
    </row>
    <row r="506" spans="4:10" x14ac:dyDescent="0.25">
      <c r="D506" s="213" t="s">
        <v>71</v>
      </c>
      <c r="E506" s="213">
        <v>1500</v>
      </c>
      <c r="F506" s="213">
        <v>300</v>
      </c>
      <c r="G506" s="213">
        <v>15000</v>
      </c>
      <c r="H506" s="213">
        <v>23000</v>
      </c>
      <c r="I506" s="213">
        <v>150</v>
      </c>
      <c r="J506" s="3" t="s">
        <v>742</v>
      </c>
    </row>
    <row r="507" spans="4:10" x14ac:dyDescent="0.25">
      <c r="D507" s="213" t="s">
        <v>71</v>
      </c>
      <c r="E507" s="213">
        <v>3000</v>
      </c>
      <c r="F507" s="213">
        <v>25</v>
      </c>
      <c r="G507" s="213">
        <v>30000</v>
      </c>
      <c r="H507" s="213">
        <v>42000</v>
      </c>
      <c r="I507" s="213">
        <v>150</v>
      </c>
      <c r="J507" s="3" t="s">
        <v>743</v>
      </c>
    </row>
    <row r="508" spans="4:10" x14ac:dyDescent="0.25">
      <c r="D508" s="213" t="s">
        <v>71</v>
      </c>
      <c r="E508" s="213">
        <v>3000</v>
      </c>
      <c r="F508" s="213">
        <v>38.1</v>
      </c>
      <c r="G508" s="213">
        <v>30000</v>
      </c>
      <c r="H508" s="213">
        <v>43000</v>
      </c>
      <c r="I508" s="213">
        <v>150</v>
      </c>
      <c r="J508" s="3" t="s">
        <v>744</v>
      </c>
    </row>
    <row r="509" spans="4:10" x14ac:dyDescent="0.25">
      <c r="D509" s="213" t="s">
        <v>71</v>
      </c>
      <c r="E509" s="213">
        <v>3000</v>
      </c>
      <c r="F509" s="213">
        <v>50</v>
      </c>
      <c r="G509" s="213">
        <v>30000</v>
      </c>
      <c r="H509" s="213">
        <v>44000</v>
      </c>
      <c r="I509" s="213">
        <v>150</v>
      </c>
      <c r="J509" s="3" t="s">
        <v>745</v>
      </c>
    </row>
    <row r="510" spans="4:10" x14ac:dyDescent="0.25">
      <c r="D510" s="213" t="s">
        <v>71</v>
      </c>
      <c r="E510" s="213">
        <v>3000</v>
      </c>
      <c r="F510" s="213">
        <v>63.5</v>
      </c>
      <c r="G510" s="213">
        <v>30000</v>
      </c>
      <c r="H510" s="213">
        <v>45000</v>
      </c>
      <c r="I510" s="213">
        <v>150</v>
      </c>
      <c r="J510" s="3" t="s">
        <v>746</v>
      </c>
    </row>
    <row r="511" spans="4:10" x14ac:dyDescent="0.25">
      <c r="D511" s="213" t="s">
        <v>71</v>
      </c>
      <c r="E511" s="213">
        <v>3000</v>
      </c>
      <c r="F511" s="213">
        <v>80</v>
      </c>
      <c r="G511" s="213">
        <v>30000</v>
      </c>
      <c r="H511" s="213">
        <v>46000</v>
      </c>
      <c r="I511" s="213">
        <v>150</v>
      </c>
      <c r="J511" s="3" t="s">
        <v>747</v>
      </c>
    </row>
    <row r="512" spans="4:10" x14ac:dyDescent="0.25">
      <c r="D512" s="213" t="s">
        <v>71</v>
      </c>
      <c r="E512" s="213">
        <v>3000</v>
      </c>
      <c r="F512" s="213">
        <v>100</v>
      </c>
      <c r="G512" s="213">
        <v>30000</v>
      </c>
      <c r="H512" s="213">
        <v>47000</v>
      </c>
      <c r="I512" s="213">
        <v>150</v>
      </c>
      <c r="J512" s="3" t="s">
        <v>748</v>
      </c>
    </row>
    <row r="513" spans="4:10" x14ac:dyDescent="0.25">
      <c r="D513" s="213" t="s">
        <v>71</v>
      </c>
      <c r="E513" s="213">
        <v>3000</v>
      </c>
      <c r="F513" s="213">
        <v>125</v>
      </c>
      <c r="G513" s="213">
        <v>30000</v>
      </c>
      <c r="H513" s="213">
        <v>47000</v>
      </c>
      <c r="I513" s="213">
        <v>150</v>
      </c>
      <c r="J513" s="3" t="s">
        <v>749</v>
      </c>
    </row>
    <row r="514" spans="4:10" x14ac:dyDescent="0.25">
      <c r="D514" s="213" t="s">
        <v>71</v>
      </c>
      <c r="E514" s="213">
        <v>3000</v>
      </c>
      <c r="F514" s="213">
        <v>160</v>
      </c>
      <c r="G514" s="213">
        <v>30000</v>
      </c>
      <c r="H514" s="213">
        <v>47000</v>
      </c>
      <c r="I514" s="213">
        <v>150</v>
      </c>
      <c r="J514" s="3" t="s">
        <v>750</v>
      </c>
    </row>
    <row r="515" spans="4:10" x14ac:dyDescent="0.25">
      <c r="D515" s="213" t="s">
        <v>71</v>
      </c>
      <c r="E515" s="213">
        <v>3000</v>
      </c>
      <c r="F515" s="213">
        <v>200</v>
      </c>
      <c r="G515" s="213">
        <v>30000</v>
      </c>
      <c r="H515" s="213">
        <v>48000</v>
      </c>
      <c r="I515" s="213">
        <v>150</v>
      </c>
      <c r="J515" s="3" t="s">
        <v>751</v>
      </c>
    </row>
    <row r="516" spans="4:10" x14ac:dyDescent="0.25">
      <c r="D516" s="213" t="s">
        <v>71</v>
      </c>
      <c r="E516" s="213">
        <v>3000</v>
      </c>
      <c r="F516" s="213">
        <v>250</v>
      </c>
      <c r="G516" s="213">
        <v>30000</v>
      </c>
      <c r="H516" s="213">
        <v>48000</v>
      </c>
      <c r="I516" s="213">
        <v>150</v>
      </c>
      <c r="J516" s="3" t="s">
        <v>752</v>
      </c>
    </row>
    <row r="517" spans="4:10" x14ac:dyDescent="0.25">
      <c r="D517" s="213" t="s">
        <v>71</v>
      </c>
      <c r="E517" s="213">
        <v>3000</v>
      </c>
      <c r="F517" s="213">
        <v>300</v>
      </c>
      <c r="G517" s="213">
        <v>30000</v>
      </c>
      <c r="H517" s="213">
        <v>48000</v>
      </c>
      <c r="I517" s="213">
        <v>150</v>
      </c>
      <c r="J517" s="3" t="s">
        <v>753</v>
      </c>
    </row>
    <row r="518" spans="4:10" x14ac:dyDescent="0.25">
      <c r="D518" s="213" t="s">
        <v>71</v>
      </c>
      <c r="E518" s="213">
        <v>5000</v>
      </c>
      <c r="F518" s="213">
        <v>25</v>
      </c>
      <c r="G518" s="213">
        <v>50000</v>
      </c>
      <c r="H518" s="213">
        <v>71000</v>
      </c>
      <c r="I518" s="213">
        <v>150</v>
      </c>
      <c r="J518" s="3" t="s">
        <v>754</v>
      </c>
    </row>
    <row r="519" spans="4:10" x14ac:dyDescent="0.25">
      <c r="D519" s="213" t="s">
        <v>71</v>
      </c>
      <c r="E519" s="213">
        <v>5000</v>
      </c>
      <c r="F519" s="213">
        <v>38.1</v>
      </c>
      <c r="G519" s="213">
        <v>50000</v>
      </c>
      <c r="H519" s="213">
        <v>75000</v>
      </c>
      <c r="I519" s="213">
        <v>150</v>
      </c>
      <c r="J519" s="3" t="s">
        <v>755</v>
      </c>
    </row>
    <row r="520" spans="4:10" x14ac:dyDescent="0.25">
      <c r="D520" s="213" t="s">
        <v>71</v>
      </c>
      <c r="E520" s="213">
        <v>5000</v>
      </c>
      <c r="F520" s="213">
        <v>50</v>
      </c>
      <c r="G520" s="213">
        <v>50000</v>
      </c>
      <c r="H520" s="213">
        <v>77000</v>
      </c>
      <c r="I520" s="213">
        <v>150</v>
      </c>
      <c r="J520" s="3" t="s">
        <v>756</v>
      </c>
    </row>
    <row r="521" spans="4:10" x14ac:dyDescent="0.25">
      <c r="D521" s="213" t="s">
        <v>71</v>
      </c>
      <c r="E521" s="213">
        <v>5000</v>
      </c>
      <c r="F521" s="213">
        <v>63.5</v>
      </c>
      <c r="G521" s="213">
        <v>50000</v>
      </c>
      <c r="H521" s="213">
        <v>80000</v>
      </c>
      <c r="I521" s="213">
        <v>150</v>
      </c>
      <c r="J521" s="3" t="s">
        <v>757</v>
      </c>
    </row>
    <row r="522" spans="4:10" x14ac:dyDescent="0.25">
      <c r="D522" s="213" t="s">
        <v>71</v>
      </c>
      <c r="E522" s="213">
        <v>5000</v>
      </c>
      <c r="F522" s="213">
        <v>80</v>
      </c>
      <c r="G522" s="213">
        <v>50000</v>
      </c>
      <c r="H522" s="213">
        <v>81000</v>
      </c>
      <c r="I522" s="213">
        <v>150</v>
      </c>
      <c r="J522" s="3" t="s">
        <v>758</v>
      </c>
    </row>
    <row r="523" spans="4:10" x14ac:dyDescent="0.25">
      <c r="D523" s="213" t="s">
        <v>71</v>
      </c>
      <c r="E523" s="213">
        <v>5000</v>
      </c>
      <c r="F523" s="213">
        <v>100</v>
      </c>
      <c r="G523" s="213">
        <v>50000</v>
      </c>
      <c r="H523" s="213">
        <v>82000</v>
      </c>
      <c r="I523" s="213">
        <v>150</v>
      </c>
      <c r="J523" s="3" t="s">
        <v>759</v>
      </c>
    </row>
    <row r="524" spans="4:10" x14ac:dyDescent="0.25">
      <c r="D524" s="213" t="s">
        <v>71</v>
      </c>
      <c r="E524" s="213">
        <v>5000</v>
      </c>
      <c r="F524" s="213">
        <v>125</v>
      </c>
      <c r="G524" s="213">
        <v>50000</v>
      </c>
      <c r="H524" s="213">
        <v>82000</v>
      </c>
      <c r="I524" s="213">
        <v>150</v>
      </c>
      <c r="J524" s="3" t="s">
        <v>760</v>
      </c>
    </row>
    <row r="525" spans="4:10" x14ac:dyDescent="0.25">
      <c r="D525" s="213" t="s">
        <v>71</v>
      </c>
      <c r="E525" s="213">
        <v>5000</v>
      </c>
      <c r="F525" s="213">
        <v>160</v>
      </c>
      <c r="G525" s="213">
        <v>50000</v>
      </c>
      <c r="H525" s="213">
        <v>83000</v>
      </c>
      <c r="I525" s="213">
        <v>150</v>
      </c>
      <c r="J525" s="3" t="s">
        <v>761</v>
      </c>
    </row>
    <row r="526" spans="4:10" x14ac:dyDescent="0.25">
      <c r="D526" s="213" t="s">
        <v>71</v>
      </c>
      <c r="E526" s="213">
        <v>5000</v>
      </c>
      <c r="F526" s="213">
        <v>200</v>
      </c>
      <c r="G526" s="213">
        <v>50000</v>
      </c>
      <c r="H526" s="213">
        <v>84000</v>
      </c>
      <c r="I526" s="213">
        <v>150</v>
      </c>
      <c r="J526" s="3" t="s">
        <v>762</v>
      </c>
    </row>
    <row r="527" spans="4:10" x14ac:dyDescent="0.25">
      <c r="D527" s="213" t="s">
        <v>71</v>
      </c>
      <c r="E527" s="213">
        <v>5000</v>
      </c>
      <c r="F527" s="213">
        <v>250</v>
      </c>
      <c r="G527" s="213">
        <v>50000</v>
      </c>
      <c r="H527" s="213">
        <v>84000</v>
      </c>
      <c r="I527" s="213">
        <v>150</v>
      </c>
      <c r="J527" s="3" t="s">
        <v>763</v>
      </c>
    </row>
    <row r="528" spans="4:10" x14ac:dyDescent="0.25">
      <c r="D528" s="213" t="s">
        <v>71</v>
      </c>
      <c r="E528" s="213">
        <v>5000</v>
      </c>
      <c r="F528" s="213">
        <v>300</v>
      </c>
      <c r="G528" s="213">
        <v>50000</v>
      </c>
      <c r="H528" s="213">
        <v>84000</v>
      </c>
      <c r="I528" s="213">
        <v>150</v>
      </c>
      <c r="J528" s="3" t="s">
        <v>764</v>
      </c>
    </row>
    <row r="529" spans="4:10" x14ac:dyDescent="0.25">
      <c r="D529" s="213" t="s">
        <v>71</v>
      </c>
      <c r="E529" s="213">
        <v>7500</v>
      </c>
      <c r="F529" s="213">
        <v>25</v>
      </c>
      <c r="G529" s="213">
        <v>75000</v>
      </c>
      <c r="H529" s="213">
        <v>105000</v>
      </c>
      <c r="I529" s="213">
        <v>150</v>
      </c>
      <c r="J529" s="3" t="s">
        <v>765</v>
      </c>
    </row>
    <row r="530" spans="4:10" x14ac:dyDescent="0.25">
      <c r="D530" s="213" t="s">
        <v>71</v>
      </c>
      <c r="E530" s="213">
        <v>7500</v>
      </c>
      <c r="F530" s="213">
        <v>38.1</v>
      </c>
      <c r="G530" s="213">
        <v>75000</v>
      </c>
      <c r="H530" s="213">
        <v>110000</v>
      </c>
      <c r="I530" s="213">
        <v>150</v>
      </c>
      <c r="J530" s="3" t="s">
        <v>766</v>
      </c>
    </row>
    <row r="531" spans="4:10" x14ac:dyDescent="0.25">
      <c r="D531" s="213" t="s">
        <v>71</v>
      </c>
      <c r="E531" s="213">
        <v>7500</v>
      </c>
      <c r="F531" s="213">
        <v>50</v>
      </c>
      <c r="G531" s="213">
        <v>75000</v>
      </c>
      <c r="H531" s="213">
        <v>113000</v>
      </c>
      <c r="I531" s="213">
        <v>150</v>
      </c>
      <c r="J531" s="3" t="s">
        <v>767</v>
      </c>
    </row>
    <row r="532" spans="4:10" x14ac:dyDescent="0.25">
      <c r="D532" s="213" t="s">
        <v>71</v>
      </c>
      <c r="E532" s="213">
        <v>7500</v>
      </c>
      <c r="F532" s="213">
        <v>63.5</v>
      </c>
      <c r="G532" s="213">
        <v>75000</v>
      </c>
      <c r="H532" s="213">
        <v>115000</v>
      </c>
      <c r="I532" s="213">
        <v>150</v>
      </c>
      <c r="J532" s="3" t="s">
        <v>768</v>
      </c>
    </row>
    <row r="533" spans="4:10" x14ac:dyDescent="0.25">
      <c r="D533" s="213" t="s">
        <v>71</v>
      </c>
      <c r="E533" s="213">
        <v>7500</v>
      </c>
      <c r="F533" s="213">
        <v>80</v>
      </c>
      <c r="G533" s="213">
        <v>75000</v>
      </c>
      <c r="H533" s="213">
        <v>117000</v>
      </c>
      <c r="I533" s="213">
        <v>150</v>
      </c>
      <c r="J533" s="3" t="s">
        <v>769</v>
      </c>
    </row>
    <row r="534" spans="4:10" x14ac:dyDescent="0.25">
      <c r="D534" s="213" t="s">
        <v>71</v>
      </c>
      <c r="E534" s="213">
        <v>7500</v>
      </c>
      <c r="F534" s="213">
        <v>100</v>
      </c>
      <c r="G534" s="213">
        <v>75000</v>
      </c>
      <c r="H534" s="213">
        <v>119000</v>
      </c>
      <c r="I534" s="213">
        <v>150</v>
      </c>
      <c r="J534" s="3" t="s">
        <v>770</v>
      </c>
    </row>
    <row r="535" spans="4:10" x14ac:dyDescent="0.25">
      <c r="D535" s="213" t="s">
        <v>71</v>
      </c>
      <c r="E535" s="213">
        <v>7500</v>
      </c>
      <c r="F535" s="213">
        <v>125</v>
      </c>
      <c r="G535" s="213">
        <v>75000</v>
      </c>
      <c r="H535" s="213">
        <v>121000</v>
      </c>
      <c r="I535" s="213">
        <v>150</v>
      </c>
      <c r="J535" s="3" t="s">
        <v>771</v>
      </c>
    </row>
    <row r="536" spans="4:10" x14ac:dyDescent="0.25">
      <c r="D536" s="213" t="s">
        <v>71</v>
      </c>
      <c r="E536" s="213">
        <v>7500</v>
      </c>
      <c r="F536" s="213">
        <v>160</v>
      </c>
      <c r="G536" s="213">
        <v>75000</v>
      </c>
      <c r="H536" s="213">
        <v>122000</v>
      </c>
      <c r="I536" s="213">
        <v>150</v>
      </c>
      <c r="J536" s="3" t="s">
        <v>772</v>
      </c>
    </row>
    <row r="537" spans="4:10" x14ac:dyDescent="0.25">
      <c r="D537" s="213" t="s">
        <v>71</v>
      </c>
      <c r="E537" s="213">
        <v>7500</v>
      </c>
      <c r="F537" s="213">
        <v>200</v>
      </c>
      <c r="G537" s="213">
        <v>75000</v>
      </c>
      <c r="H537" s="213">
        <v>123000</v>
      </c>
      <c r="I537" s="213">
        <v>150</v>
      </c>
      <c r="J537" s="3" t="s">
        <v>773</v>
      </c>
    </row>
    <row r="538" spans="4:10" x14ac:dyDescent="0.25">
      <c r="D538" s="213" t="s">
        <v>71</v>
      </c>
      <c r="E538" s="213">
        <v>7500</v>
      </c>
      <c r="F538" s="213">
        <v>250</v>
      </c>
      <c r="G538" s="213">
        <v>75000</v>
      </c>
      <c r="H538" s="213">
        <v>124000</v>
      </c>
      <c r="I538" s="213">
        <v>150</v>
      </c>
      <c r="J538" s="3" t="s">
        <v>774</v>
      </c>
    </row>
    <row r="539" spans="4:10" x14ac:dyDescent="0.25">
      <c r="D539" s="213" t="s">
        <v>71</v>
      </c>
      <c r="E539" s="213">
        <v>7500</v>
      </c>
      <c r="F539" s="213">
        <v>300</v>
      </c>
      <c r="G539" s="213">
        <v>75000</v>
      </c>
      <c r="H539" s="213">
        <v>124000</v>
      </c>
      <c r="I539" s="213">
        <v>150</v>
      </c>
      <c r="J539" s="3" t="s">
        <v>775</v>
      </c>
    </row>
    <row r="540" spans="4:10" x14ac:dyDescent="0.25">
      <c r="D540" s="213" t="s">
        <v>446</v>
      </c>
      <c r="E540" s="213">
        <v>350</v>
      </c>
      <c r="F540" s="213">
        <v>10</v>
      </c>
      <c r="G540" s="213">
        <v>3600</v>
      </c>
      <c r="H540" s="213">
        <v>5900</v>
      </c>
      <c r="I540" s="213">
        <v>180</v>
      </c>
      <c r="J540" s="3" t="s">
        <v>776</v>
      </c>
    </row>
    <row r="541" spans="4:10" x14ac:dyDescent="0.25">
      <c r="D541" s="213" t="s">
        <v>446</v>
      </c>
      <c r="E541" s="213">
        <v>350</v>
      </c>
      <c r="F541" s="213">
        <v>13</v>
      </c>
      <c r="G541" s="213">
        <v>3600</v>
      </c>
      <c r="H541" s="213">
        <v>5200</v>
      </c>
      <c r="I541" s="213">
        <v>180</v>
      </c>
      <c r="J541" s="3" t="s">
        <v>777</v>
      </c>
    </row>
    <row r="542" spans="4:10" x14ac:dyDescent="0.25">
      <c r="D542" s="213" t="s">
        <v>446</v>
      </c>
      <c r="E542" s="213">
        <v>350</v>
      </c>
      <c r="F542" s="213">
        <v>16</v>
      </c>
      <c r="G542" s="213">
        <v>3600</v>
      </c>
      <c r="H542" s="213">
        <v>5300</v>
      </c>
      <c r="I542" s="213">
        <v>180</v>
      </c>
      <c r="J542" s="3" t="s">
        <v>778</v>
      </c>
    </row>
    <row r="543" spans="4:10" x14ac:dyDescent="0.25">
      <c r="D543" s="213" t="s">
        <v>446</v>
      </c>
      <c r="E543" s="213">
        <v>350</v>
      </c>
      <c r="F543" s="213">
        <v>19</v>
      </c>
      <c r="G543" s="213">
        <v>3600</v>
      </c>
      <c r="H543" s="213">
        <v>5600</v>
      </c>
      <c r="I543" s="213">
        <v>180</v>
      </c>
      <c r="J543" s="3" t="s">
        <v>779</v>
      </c>
    </row>
    <row r="544" spans="4:10" x14ac:dyDescent="0.25">
      <c r="D544" s="213" t="s">
        <v>446</v>
      </c>
      <c r="E544" s="213">
        <v>350</v>
      </c>
      <c r="F544" s="213">
        <v>25</v>
      </c>
      <c r="G544" s="213">
        <v>3600</v>
      </c>
      <c r="H544" s="213">
        <v>5500</v>
      </c>
      <c r="I544" s="213">
        <v>180</v>
      </c>
      <c r="J544" s="3" t="s">
        <v>780</v>
      </c>
    </row>
    <row r="545" spans="4:10" x14ac:dyDescent="0.25">
      <c r="D545" s="213" t="s">
        <v>446</v>
      </c>
      <c r="E545" s="213">
        <v>350</v>
      </c>
      <c r="F545" s="213">
        <v>32</v>
      </c>
      <c r="G545" s="213">
        <v>3600</v>
      </c>
      <c r="H545" s="213">
        <v>5500</v>
      </c>
      <c r="I545" s="213">
        <v>180</v>
      </c>
      <c r="J545" s="3" t="s">
        <v>781</v>
      </c>
    </row>
    <row r="546" spans="4:10" x14ac:dyDescent="0.25">
      <c r="D546" s="213" t="s">
        <v>446</v>
      </c>
      <c r="E546" s="213">
        <v>350</v>
      </c>
      <c r="F546" s="213">
        <v>38</v>
      </c>
      <c r="G546" s="213">
        <v>3600</v>
      </c>
      <c r="H546" s="213">
        <v>5500</v>
      </c>
      <c r="I546" s="213">
        <v>180</v>
      </c>
      <c r="J546" s="3" t="s">
        <v>782</v>
      </c>
    </row>
    <row r="547" spans="4:10" x14ac:dyDescent="0.25">
      <c r="D547" s="213" t="s">
        <v>446</v>
      </c>
      <c r="E547" s="213">
        <v>350</v>
      </c>
      <c r="F547" s="213">
        <v>50</v>
      </c>
      <c r="G547" s="213">
        <v>3600</v>
      </c>
      <c r="H547" s="213">
        <v>5600</v>
      </c>
      <c r="I547" s="213">
        <v>180</v>
      </c>
      <c r="J547" s="3" t="s">
        <v>783</v>
      </c>
    </row>
    <row r="548" spans="4:10" x14ac:dyDescent="0.25">
      <c r="D548" s="213" t="s">
        <v>446</v>
      </c>
      <c r="E548" s="213">
        <v>350</v>
      </c>
      <c r="F548" s="213">
        <v>63</v>
      </c>
      <c r="G548" s="213">
        <v>3600</v>
      </c>
      <c r="H548" s="213">
        <v>5500</v>
      </c>
      <c r="I548" s="213">
        <v>180</v>
      </c>
      <c r="J548" s="3" t="s">
        <v>784</v>
      </c>
    </row>
    <row r="549" spans="4:10" x14ac:dyDescent="0.25">
      <c r="D549" s="213" t="s">
        <v>446</v>
      </c>
      <c r="E549" s="213">
        <v>350</v>
      </c>
      <c r="F549" s="213">
        <v>75</v>
      </c>
      <c r="G549" s="213">
        <v>3600</v>
      </c>
      <c r="H549" s="213">
        <v>5500</v>
      </c>
      <c r="I549" s="213">
        <v>180</v>
      </c>
      <c r="J549" s="3" t="s">
        <v>785</v>
      </c>
    </row>
    <row r="550" spans="4:10" x14ac:dyDescent="0.25">
      <c r="D550" s="213" t="s">
        <v>446</v>
      </c>
      <c r="E550" s="213">
        <v>350</v>
      </c>
      <c r="F550" s="213">
        <v>80</v>
      </c>
      <c r="G550" s="213">
        <v>3600</v>
      </c>
      <c r="H550" s="213">
        <v>5500</v>
      </c>
      <c r="I550" s="213">
        <v>180</v>
      </c>
      <c r="J550" s="3" t="s">
        <v>786</v>
      </c>
    </row>
    <row r="551" spans="4:10" x14ac:dyDescent="0.25">
      <c r="D551" s="213" t="s">
        <v>446</v>
      </c>
      <c r="E551" s="213">
        <v>350</v>
      </c>
      <c r="F551" s="213">
        <v>100</v>
      </c>
      <c r="G551" s="213">
        <v>3600</v>
      </c>
      <c r="H551" s="213">
        <v>5500</v>
      </c>
      <c r="I551" s="213">
        <v>180</v>
      </c>
      <c r="J551" s="3" t="s">
        <v>787</v>
      </c>
    </row>
    <row r="552" spans="4:10" x14ac:dyDescent="0.25">
      <c r="D552" s="213" t="s">
        <v>446</v>
      </c>
      <c r="E552" s="213">
        <v>350</v>
      </c>
      <c r="F552" s="213">
        <v>125</v>
      </c>
      <c r="G552" s="213">
        <v>3600</v>
      </c>
      <c r="H552" s="213">
        <v>5500</v>
      </c>
      <c r="I552" s="213">
        <v>180</v>
      </c>
      <c r="J552" s="3" t="s">
        <v>788</v>
      </c>
    </row>
    <row r="553" spans="4:10" x14ac:dyDescent="0.25">
      <c r="D553" s="213" t="s">
        <v>446</v>
      </c>
      <c r="E553" s="213">
        <v>500</v>
      </c>
      <c r="F553" s="213">
        <v>10</v>
      </c>
      <c r="G553" s="213">
        <v>4700</v>
      </c>
      <c r="H553" s="213">
        <v>7200</v>
      </c>
      <c r="I553" s="213">
        <v>150</v>
      </c>
      <c r="J553" s="3" t="s">
        <v>789</v>
      </c>
    </row>
    <row r="554" spans="4:10" x14ac:dyDescent="0.25">
      <c r="D554" s="213" t="s">
        <v>446</v>
      </c>
      <c r="E554" s="213">
        <v>500</v>
      </c>
      <c r="F554" s="213">
        <v>13</v>
      </c>
      <c r="G554" s="213">
        <v>4700</v>
      </c>
      <c r="H554" s="213">
        <v>7100</v>
      </c>
      <c r="I554" s="213">
        <v>150</v>
      </c>
      <c r="J554" s="3" t="s">
        <v>790</v>
      </c>
    </row>
    <row r="555" spans="4:10" x14ac:dyDescent="0.25">
      <c r="D555" s="213" t="s">
        <v>446</v>
      </c>
      <c r="E555" s="213">
        <v>500</v>
      </c>
      <c r="F555" s="213">
        <v>16</v>
      </c>
      <c r="G555" s="213">
        <v>4700</v>
      </c>
      <c r="H555" s="213">
        <v>7200</v>
      </c>
      <c r="I555" s="213">
        <v>150</v>
      </c>
      <c r="J555" s="3" t="s">
        <v>791</v>
      </c>
    </row>
    <row r="556" spans="4:10" x14ac:dyDescent="0.25">
      <c r="D556" s="213" t="s">
        <v>446</v>
      </c>
      <c r="E556" s="213">
        <v>500</v>
      </c>
      <c r="F556" s="213">
        <v>19</v>
      </c>
      <c r="G556" s="213">
        <v>4700</v>
      </c>
      <c r="H556" s="213">
        <v>7400</v>
      </c>
      <c r="I556" s="213">
        <v>150</v>
      </c>
      <c r="J556" s="3" t="s">
        <v>792</v>
      </c>
    </row>
    <row r="557" spans="4:10" x14ac:dyDescent="0.25">
      <c r="D557" s="213" t="s">
        <v>446</v>
      </c>
      <c r="E557" s="213">
        <v>500</v>
      </c>
      <c r="F557" s="213">
        <v>25</v>
      </c>
      <c r="G557" s="213">
        <v>4700</v>
      </c>
      <c r="H557" s="213">
        <v>7300</v>
      </c>
      <c r="I557" s="213">
        <v>150</v>
      </c>
      <c r="J557" s="3" t="s">
        <v>793</v>
      </c>
    </row>
    <row r="558" spans="4:10" x14ac:dyDescent="0.25">
      <c r="D558" s="213" t="s">
        <v>446</v>
      </c>
      <c r="E558" s="213">
        <v>500</v>
      </c>
      <c r="F558" s="213">
        <v>32</v>
      </c>
      <c r="G558" s="213">
        <v>4700</v>
      </c>
      <c r="H558" s="213">
        <v>7200</v>
      </c>
      <c r="I558" s="213">
        <v>150</v>
      </c>
      <c r="J558" s="3" t="s">
        <v>794</v>
      </c>
    </row>
    <row r="559" spans="4:10" x14ac:dyDescent="0.25">
      <c r="D559" s="213" t="s">
        <v>446</v>
      </c>
      <c r="E559" s="213">
        <v>500</v>
      </c>
      <c r="F559" s="213">
        <v>38</v>
      </c>
      <c r="G559" s="213">
        <v>4700</v>
      </c>
      <c r="H559" s="213">
        <v>7200</v>
      </c>
      <c r="I559" s="213">
        <v>150</v>
      </c>
      <c r="J559" s="3" t="s">
        <v>795</v>
      </c>
    </row>
    <row r="560" spans="4:10" x14ac:dyDescent="0.25">
      <c r="D560" s="213" t="s">
        <v>446</v>
      </c>
      <c r="E560" s="213">
        <v>500</v>
      </c>
      <c r="F560" s="213">
        <v>50</v>
      </c>
      <c r="G560" s="213">
        <v>4700</v>
      </c>
      <c r="H560" s="213">
        <v>7200</v>
      </c>
      <c r="I560" s="213">
        <v>150</v>
      </c>
      <c r="J560" s="3" t="s">
        <v>796</v>
      </c>
    </row>
    <row r="561" spans="4:10" x14ac:dyDescent="0.25">
      <c r="D561" s="213" t="s">
        <v>446</v>
      </c>
      <c r="E561" s="213">
        <v>500</v>
      </c>
      <c r="F561" s="213">
        <v>63</v>
      </c>
      <c r="G561" s="213">
        <v>4700</v>
      </c>
      <c r="H561" s="213">
        <v>7200</v>
      </c>
      <c r="I561" s="213">
        <v>150</v>
      </c>
      <c r="J561" s="3" t="s">
        <v>797</v>
      </c>
    </row>
    <row r="562" spans="4:10" x14ac:dyDescent="0.25">
      <c r="D562" s="213" t="s">
        <v>446</v>
      </c>
      <c r="E562" s="213">
        <v>500</v>
      </c>
      <c r="F562" s="213">
        <v>75</v>
      </c>
      <c r="G562" s="213">
        <v>4700</v>
      </c>
      <c r="H562" s="213">
        <v>7100</v>
      </c>
      <c r="I562" s="213">
        <v>150</v>
      </c>
      <c r="J562" s="3" t="s">
        <v>798</v>
      </c>
    </row>
    <row r="563" spans="4:10" x14ac:dyDescent="0.25">
      <c r="D563" s="213" t="s">
        <v>446</v>
      </c>
      <c r="E563" s="213">
        <v>500</v>
      </c>
      <c r="F563" s="213">
        <v>80</v>
      </c>
      <c r="G563" s="213">
        <v>4700</v>
      </c>
      <c r="H563" s="213">
        <v>7100</v>
      </c>
      <c r="I563" s="213">
        <v>150</v>
      </c>
      <c r="J563" s="3" t="s">
        <v>799</v>
      </c>
    </row>
    <row r="564" spans="4:10" x14ac:dyDescent="0.25">
      <c r="D564" s="213" t="s">
        <v>446</v>
      </c>
      <c r="E564" s="213">
        <v>500</v>
      </c>
      <c r="F564" s="213">
        <v>100</v>
      </c>
      <c r="G564" s="213">
        <v>4700</v>
      </c>
      <c r="H564" s="213">
        <v>7100</v>
      </c>
      <c r="I564" s="213">
        <v>150</v>
      </c>
      <c r="J564" s="3" t="s">
        <v>800</v>
      </c>
    </row>
    <row r="565" spans="4:10" x14ac:dyDescent="0.25">
      <c r="D565" s="213" t="s">
        <v>446</v>
      </c>
      <c r="E565" s="213">
        <v>500</v>
      </c>
      <c r="F565" s="213">
        <v>125</v>
      </c>
      <c r="G565" s="213">
        <v>4700</v>
      </c>
      <c r="H565" s="213">
        <v>7100</v>
      </c>
      <c r="I565" s="213">
        <v>150</v>
      </c>
      <c r="J565" s="3" t="s">
        <v>801</v>
      </c>
    </row>
    <row r="566" spans="4:10" x14ac:dyDescent="0.25">
      <c r="D566" s="213" t="s">
        <v>446</v>
      </c>
      <c r="E566" s="213">
        <v>750</v>
      </c>
      <c r="F566" s="213">
        <v>10</v>
      </c>
      <c r="G566" s="213">
        <v>7400</v>
      </c>
      <c r="H566" s="213">
        <v>12100</v>
      </c>
      <c r="I566" s="213">
        <v>150</v>
      </c>
      <c r="J566" s="3" t="s">
        <v>802</v>
      </c>
    </row>
    <row r="567" spans="4:10" x14ac:dyDescent="0.25">
      <c r="D567" s="213" t="s">
        <v>446</v>
      </c>
      <c r="E567" s="213">
        <v>750</v>
      </c>
      <c r="F567" s="213">
        <v>13</v>
      </c>
      <c r="G567" s="213">
        <v>7400</v>
      </c>
      <c r="H567" s="213">
        <v>12100</v>
      </c>
      <c r="I567" s="213">
        <v>150</v>
      </c>
      <c r="J567" s="3" t="s">
        <v>803</v>
      </c>
    </row>
    <row r="568" spans="4:10" x14ac:dyDescent="0.25">
      <c r="D568" s="213" t="s">
        <v>446</v>
      </c>
      <c r="E568" s="213">
        <v>750</v>
      </c>
      <c r="F568" s="213">
        <v>16</v>
      </c>
      <c r="G568" s="213">
        <v>7400</v>
      </c>
      <c r="H568" s="213">
        <v>12100</v>
      </c>
      <c r="I568" s="213">
        <v>150</v>
      </c>
      <c r="J568" s="3" t="s">
        <v>804</v>
      </c>
    </row>
    <row r="569" spans="4:10" x14ac:dyDescent="0.25">
      <c r="D569" s="213" t="s">
        <v>446</v>
      </c>
      <c r="E569" s="213">
        <v>750</v>
      </c>
      <c r="F569" s="213">
        <v>19</v>
      </c>
      <c r="G569" s="213">
        <v>7400</v>
      </c>
      <c r="H569" s="213">
        <v>11700</v>
      </c>
      <c r="I569" s="213">
        <v>150</v>
      </c>
      <c r="J569" s="3" t="s">
        <v>805</v>
      </c>
    </row>
    <row r="570" spans="4:10" x14ac:dyDescent="0.25">
      <c r="D570" s="213" t="s">
        <v>446</v>
      </c>
      <c r="E570" s="213">
        <v>750</v>
      </c>
      <c r="F570" s="213">
        <v>25</v>
      </c>
      <c r="G570" s="213">
        <v>7400</v>
      </c>
      <c r="H570" s="213">
        <v>11800</v>
      </c>
      <c r="I570" s="213">
        <v>150</v>
      </c>
      <c r="J570" s="3" t="s">
        <v>806</v>
      </c>
    </row>
    <row r="571" spans="4:10" x14ac:dyDescent="0.25">
      <c r="D571" s="213" t="s">
        <v>446</v>
      </c>
      <c r="E571" s="213">
        <v>750</v>
      </c>
      <c r="F571" s="213">
        <v>32</v>
      </c>
      <c r="G571" s="213">
        <v>7400</v>
      </c>
      <c r="H571" s="213">
        <v>11800</v>
      </c>
      <c r="I571" s="213">
        <v>150</v>
      </c>
      <c r="J571" s="3" t="s">
        <v>807</v>
      </c>
    </row>
    <row r="572" spans="4:10" x14ac:dyDescent="0.25">
      <c r="D572" s="213" t="s">
        <v>446</v>
      </c>
      <c r="E572" s="213">
        <v>750</v>
      </c>
      <c r="F572" s="213">
        <v>38</v>
      </c>
      <c r="G572" s="213">
        <v>7400</v>
      </c>
      <c r="H572" s="213">
        <v>11800</v>
      </c>
      <c r="I572" s="213">
        <v>150</v>
      </c>
      <c r="J572" s="3" t="s">
        <v>808</v>
      </c>
    </row>
    <row r="573" spans="4:10" x14ac:dyDescent="0.25">
      <c r="D573" s="213" t="s">
        <v>446</v>
      </c>
      <c r="E573" s="213">
        <v>750</v>
      </c>
      <c r="F573" s="213">
        <v>50</v>
      </c>
      <c r="G573" s="213">
        <v>7400</v>
      </c>
      <c r="H573" s="213">
        <v>11800</v>
      </c>
      <c r="I573" s="213">
        <v>150</v>
      </c>
      <c r="J573" s="3" t="s">
        <v>809</v>
      </c>
    </row>
    <row r="574" spans="4:10" x14ac:dyDescent="0.25">
      <c r="D574" s="213" t="s">
        <v>446</v>
      </c>
      <c r="E574" s="213">
        <v>750</v>
      </c>
      <c r="F574" s="213">
        <v>63</v>
      </c>
      <c r="G574" s="213">
        <v>7400</v>
      </c>
      <c r="H574" s="213">
        <v>11800</v>
      </c>
      <c r="I574" s="213">
        <v>150</v>
      </c>
      <c r="J574" s="3" t="s">
        <v>810</v>
      </c>
    </row>
    <row r="575" spans="4:10" x14ac:dyDescent="0.25">
      <c r="D575" s="213" t="s">
        <v>446</v>
      </c>
      <c r="E575" s="213">
        <v>750</v>
      </c>
      <c r="F575" s="213">
        <v>75</v>
      </c>
      <c r="G575" s="213">
        <v>7400</v>
      </c>
      <c r="H575" s="213">
        <v>11900</v>
      </c>
      <c r="I575" s="213">
        <v>150</v>
      </c>
      <c r="J575" s="3" t="s">
        <v>811</v>
      </c>
    </row>
    <row r="576" spans="4:10" x14ac:dyDescent="0.25">
      <c r="D576" s="213" t="s">
        <v>446</v>
      </c>
      <c r="E576" s="213">
        <v>750</v>
      </c>
      <c r="F576" s="213">
        <v>80</v>
      </c>
      <c r="G576" s="213">
        <v>7400</v>
      </c>
      <c r="H576" s="213">
        <v>11900</v>
      </c>
      <c r="I576" s="213">
        <v>150</v>
      </c>
      <c r="J576" s="3" t="s">
        <v>812</v>
      </c>
    </row>
    <row r="577" spans="4:10" x14ac:dyDescent="0.25">
      <c r="D577" s="213" t="s">
        <v>446</v>
      </c>
      <c r="E577" s="213">
        <v>750</v>
      </c>
      <c r="F577" s="213">
        <v>100</v>
      </c>
      <c r="G577" s="213">
        <v>7400</v>
      </c>
      <c r="H577" s="213">
        <v>11900</v>
      </c>
      <c r="I577" s="213">
        <v>150</v>
      </c>
      <c r="J577" s="3" t="s">
        <v>813</v>
      </c>
    </row>
    <row r="578" spans="4:10" x14ac:dyDescent="0.25">
      <c r="D578" s="213" t="s">
        <v>446</v>
      </c>
      <c r="E578" s="213">
        <v>750</v>
      </c>
      <c r="F578" s="213">
        <v>125</v>
      </c>
      <c r="G578" s="213">
        <v>7400</v>
      </c>
      <c r="H578" s="213">
        <v>11900</v>
      </c>
      <c r="I578" s="213">
        <v>150</v>
      </c>
      <c r="J578" s="3" t="s">
        <v>814</v>
      </c>
    </row>
    <row r="579" spans="4:10" x14ac:dyDescent="0.25">
      <c r="D579" s="213" t="s">
        <v>446</v>
      </c>
      <c r="E579" s="213">
        <v>1000</v>
      </c>
      <c r="F579" s="213">
        <v>13</v>
      </c>
      <c r="G579" s="213">
        <v>9200</v>
      </c>
      <c r="H579" s="213">
        <v>13800</v>
      </c>
      <c r="I579" s="213">
        <v>150</v>
      </c>
      <c r="J579" s="3" t="s">
        <v>815</v>
      </c>
    </row>
    <row r="580" spans="4:10" x14ac:dyDescent="0.25">
      <c r="D580" s="213" t="s">
        <v>446</v>
      </c>
      <c r="E580" s="213">
        <v>1000</v>
      </c>
      <c r="F580" s="213">
        <v>16</v>
      </c>
      <c r="G580" s="213">
        <v>9200</v>
      </c>
      <c r="H580" s="213">
        <v>13800</v>
      </c>
      <c r="I580" s="213">
        <v>150</v>
      </c>
      <c r="J580" s="3" t="s">
        <v>816</v>
      </c>
    </row>
    <row r="581" spans="4:10" x14ac:dyDescent="0.25">
      <c r="D581" s="213" t="s">
        <v>446</v>
      </c>
      <c r="E581" s="213">
        <v>1000</v>
      </c>
      <c r="F581" s="213">
        <v>19</v>
      </c>
      <c r="G581" s="213">
        <v>9200</v>
      </c>
      <c r="H581" s="213">
        <v>14000</v>
      </c>
      <c r="I581" s="213">
        <v>150</v>
      </c>
      <c r="J581" s="3" t="s">
        <v>817</v>
      </c>
    </row>
    <row r="582" spans="4:10" x14ac:dyDescent="0.25">
      <c r="D582" s="213" t="s">
        <v>446</v>
      </c>
      <c r="E582" s="213">
        <v>1000</v>
      </c>
      <c r="F582" s="213">
        <v>25</v>
      </c>
      <c r="G582" s="213">
        <v>9200</v>
      </c>
      <c r="H582" s="213">
        <v>14200</v>
      </c>
      <c r="I582" s="213">
        <v>150</v>
      </c>
      <c r="J582" s="3" t="s">
        <v>818</v>
      </c>
    </row>
    <row r="583" spans="4:10" x14ac:dyDescent="0.25">
      <c r="D583" s="213" t="s">
        <v>446</v>
      </c>
      <c r="E583" s="213">
        <v>1000</v>
      </c>
      <c r="F583" s="213">
        <v>32</v>
      </c>
      <c r="G583" s="213">
        <v>9200</v>
      </c>
      <c r="H583" s="213">
        <v>14300</v>
      </c>
      <c r="I583" s="213">
        <v>150</v>
      </c>
      <c r="J583" s="3" t="s">
        <v>819</v>
      </c>
    </row>
    <row r="584" spans="4:10" x14ac:dyDescent="0.25">
      <c r="D584" s="213" t="s">
        <v>446</v>
      </c>
      <c r="E584" s="213">
        <v>1000</v>
      </c>
      <c r="F584" s="213">
        <v>38</v>
      </c>
      <c r="G584" s="213">
        <v>9200</v>
      </c>
      <c r="H584" s="213">
        <v>14500</v>
      </c>
      <c r="I584" s="213">
        <v>150</v>
      </c>
      <c r="J584" s="3" t="s">
        <v>820</v>
      </c>
    </row>
    <row r="585" spans="4:10" x14ac:dyDescent="0.25">
      <c r="D585" s="213" t="s">
        <v>446</v>
      </c>
      <c r="E585" s="213">
        <v>1000</v>
      </c>
      <c r="F585" s="213">
        <v>50</v>
      </c>
      <c r="G585" s="213">
        <v>9200</v>
      </c>
      <c r="H585" s="213">
        <v>14600</v>
      </c>
      <c r="I585" s="213">
        <v>150</v>
      </c>
      <c r="J585" s="3" t="s">
        <v>821</v>
      </c>
    </row>
    <row r="586" spans="4:10" x14ac:dyDescent="0.25">
      <c r="D586" s="213" t="s">
        <v>446</v>
      </c>
      <c r="E586" s="213">
        <v>1000</v>
      </c>
      <c r="F586" s="213">
        <v>63</v>
      </c>
      <c r="G586" s="213">
        <v>9200</v>
      </c>
      <c r="H586" s="213">
        <v>14700</v>
      </c>
      <c r="I586" s="213">
        <v>150</v>
      </c>
      <c r="J586" s="3" t="s">
        <v>822</v>
      </c>
    </row>
    <row r="587" spans="4:10" x14ac:dyDescent="0.25">
      <c r="D587" s="213" t="s">
        <v>446</v>
      </c>
      <c r="E587" s="213">
        <v>1000</v>
      </c>
      <c r="F587" s="213">
        <v>75</v>
      </c>
      <c r="G587" s="213">
        <v>9200</v>
      </c>
      <c r="H587" s="213">
        <v>14700</v>
      </c>
      <c r="I587" s="213">
        <v>150</v>
      </c>
      <c r="J587" s="3" t="s">
        <v>823</v>
      </c>
    </row>
    <row r="588" spans="4:10" x14ac:dyDescent="0.25">
      <c r="D588" s="213" t="s">
        <v>446</v>
      </c>
      <c r="E588" s="213">
        <v>1000</v>
      </c>
      <c r="F588" s="213">
        <v>80</v>
      </c>
      <c r="G588" s="213">
        <v>9200</v>
      </c>
      <c r="H588" s="213">
        <v>14800</v>
      </c>
      <c r="I588" s="213">
        <v>150</v>
      </c>
      <c r="J588" s="3" t="s">
        <v>824</v>
      </c>
    </row>
    <row r="589" spans="4:10" x14ac:dyDescent="0.25">
      <c r="D589" s="213" t="s">
        <v>446</v>
      </c>
      <c r="E589" s="213">
        <v>1000</v>
      </c>
      <c r="F589" s="213">
        <v>100</v>
      </c>
      <c r="G589" s="213">
        <v>9200</v>
      </c>
      <c r="H589" s="213">
        <v>14800</v>
      </c>
      <c r="I589" s="213">
        <v>150</v>
      </c>
      <c r="J589" s="3" t="s">
        <v>825</v>
      </c>
    </row>
    <row r="590" spans="4:10" x14ac:dyDescent="0.25">
      <c r="D590" s="213" t="s">
        <v>446</v>
      </c>
      <c r="E590" s="213">
        <v>1000</v>
      </c>
      <c r="F590" s="213">
        <v>125</v>
      </c>
      <c r="G590" s="213">
        <v>9200</v>
      </c>
      <c r="H590" s="213">
        <v>14800</v>
      </c>
      <c r="I590" s="213">
        <v>150</v>
      </c>
      <c r="J590" s="3" t="s">
        <v>826</v>
      </c>
    </row>
    <row r="591" spans="4:10" x14ac:dyDescent="0.25">
      <c r="D591" s="213" t="s">
        <v>446</v>
      </c>
      <c r="E591" s="213">
        <v>1500</v>
      </c>
      <c r="F591" s="213">
        <v>13</v>
      </c>
      <c r="G591" s="213">
        <v>15000</v>
      </c>
      <c r="H591" s="213">
        <v>24000</v>
      </c>
      <c r="I591" s="213">
        <v>150</v>
      </c>
      <c r="J591" s="3" t="s">
        <v>827</v>
      </c>
    </row>
    <row r="592" spans="4:10" x14ac:dyDescent="0.25">
      <c r="D592" s="213" t="s">
        <v>446</v>
      </c>
      <c r="E592" s="213">
        <v>1500</v>
      </c>
      <c r="F592" s="213">
        <v>16</v>
      </c>
      <c r="G592" s="213">
        <v>15000</v>
      </c>
      <c r="H592" s="213">
        <v>24100</v>
      </c>
      <c r="I592" s="213">
        <v>150</v>
      </c>
      <c r="J592" s="3" t="s">
        <v>828</v>
      </c>
    </row>
    <row r="593" spans="4:10" x14ac:dyDescent="0.25">
      <c r="D593" s="213" t="s">
        <v>446</v>
      </c>
      <c r="E593" s="213">
        <v>1500</v>
      </c>
      <c r="F593" s="213">
        <v>19</v>
      </c>
      <c r="G593" s="213">
        <v>15000</v>
      </c>
      <c r="H593" s="213">
        <v>24200</v>
      </c>
      <c r="I593" s="213">
        <v>150</v>
      </c>
      <c r="J593" s="3" t="s">
        <v>829</v>
      </c>
    </row>
    <row r="594" spans="4:10" x14ac:dyDescent="0.25">
      <c r="D594" s="213" t="s">
        <v>446</v>
      </c>
      <c r="E594" s="213">
        <v>1500</v>
      </c>
      <c r="F594" s="213">
        <v>25</v>
      </c>
      <c r="G594" s="213">
        <v>15000</v>
      </c>
      <c r="H594" s="213">
        <v>24300</v>
      </c>
      <c r="I594" s="213">
        <v>150</v>
      </c>
      <c r="J594" s="3" t="s">
        <v>830</v>
      </c>
    </row>
    <row r="595" spans="4:10" x14ac:dyDescent="0.25">
      <c r="D595" s="213" t="s">
        <v>446</v>
      </c>
      <c r="E595" s="213">
        <v>1500</v>
      </c>
      <c r="F595" s="213">
        <v>32</v>
      </c>
      <c r="G595" s="213">
        <v>15000</v>
      </c>
      <c r="H595" s="213">
        <v>23800</v>
      </c>
      <c r="I595" s="213">
        <v>150</v>
      </c>
      <c r="J595" s="3" t="s">
        <v>831</v>
      </c>
    </row>
    <row r="596" spans="4:10" x14ac:dyDescent="0.25">
      <c r="D596" s="213" t="s">
        <v>446</v>
      </c>
      <c r="E596" s="213">
        <v>1500</v>
      </c>
      <c r="F596" s="213">
        <v>38</v>
      </c>
      <c r="G596" s="213">
        <v>15000</v>
      </c>
      <c r="H596" s="213">
        <v>23900</v>
      </c>
      <c r="I596" s="213">
        <v>150</v>
      </c>
      <c r="J596" s="3" t="s">
        <v>832</v>
      </c>
    </row>
    <row r="597" spans="4:10" x14ac:dyDescent="0.25">
      <c r="D597" s="213" t="s">
        <v>446</v>
      </c>
      <c r="E597" s="213">
        <v>1500</v>
      </c>
      <c r="F597" s="213">
        <v>50</v>
      </c>
      <c r="G597" s="213">
        <v>15000</v>
      </c>
      <c r="H597" s="213">
        <v>24000</v>
      </c>
      <c r="I597" s="213">
        <v>150</v>
      </c>
      <c r="J597" s="3" t="s">
        <v>833</v>
      </c>
    </row>
    <row r="598" spans="4:10" x14ac:dyDescent="0.25">
      <c r="D598" s="213" t="s">
        <v>446</v>
      </c>
      <c r="E598" s="213">
        <v>1500</v>
      </c>
      <c r="F598" s="213">
        <v>63</v>
      </c>
      <c r="G598" s="213">
        <v>15000</v>
      </c>
      <c r="H598" s="213">
        <v>24100</v>
      </c>
      <c r="I598" s="213">
        <v>150</v>
      </c>
      <c r="J598" s="3" t="s">
        <v>834</v>
      </c>
    </row>
    <row r="599" spans="4:10" x14ac:dyDescent="0.25">
      <c r="D599" s="213" t="s">
        <v>446</v>
      </c>
      <c r="E599" s="213">
        <v>1500</v>
      </c>
      <c r="F599" s="213">
        <v>75</v>
      </c>
      <c r="G599" s="213">
        <v>15000</v>
      </c>
      <c r="H599" s="213">
        <v>24200</v>
      </c>
      <c r="I599" s="213">
        <v>150</v>
      </c>
      <c r="J599" s="3" t="s">
        <v>835</v>
      </c>
    </row>
    <row r="600" spans="4:10" x14ac:dyDescent="0.25">
      <c r="D600" s="213" t="s">
        <v>446</v>
      </c>
      <c r="E600" s="213">
        <v>1500</v>
      </c>
      <c r="F600" s="213">
        <v>80</v>
      </c>
      <c r="G600" s="213">
        <v>15000</v>
      </c>
      <c r="H600" s="213">
        <v>24200</v>
      </c>
      <c r="I600" s="213">
        <v>150</v>
      </c>
      <c r="J600" s="3" t="s">
        <v>836</v>
      </c>
    </row>
    <row r="601" spans="4:10" x14ac:dyDescent="0.25">
      <c r="D601" s="213" t="s">
        <v>446</v>
      </c>
      <c r="E601" s="213">
        <v>1500</v>
      </c>
      <c r="F601" s="213">
        <v>100</v>
      </c>
      <c r="G601" s="213">
        <v>15000</v>
      </c>
      <c r="H601" s="213">
        <v>24300</v>
      </c>
      <c r="I601" s="213">
        <v>150</v>
      </c>
      <c r="J601" s="3" t="s">
        <v>837</v>
      </c>
    </row>
    <row r="602" spans="4:10" x14ac:dyDescent="0.25">
      <c r="D602" s="213" t="s">
        <v>446</v>
      </c>
      <c r="E602" s="213">
        <v>1500</v>
      </c>
      <c r="F602" s="213">
        <v>125</v>
      </c>
      <c r="G602" s="213">
        <v>15000</v>
      </c>
      <c r="H602" s="213">
        <v>24300</v>
      </c>
      <c r="I602" s="213">
        <v>150</v>
      </c>
      <c r="J602" s="3" t="s">
        <v>838</v>
      </c>
    </row>
    <row r="603" spans="4:10" x14ac:dyDescent="0.25">
      <c r="D603" s="213" t="s">
        <v>446</v>
      </c>
      <c r="E603" s="213">
        <v>2400</v>
      </c>
      <c r="F603" s="213">
        <v>16</v>
      </c>
      <c r="G603" s="213">
        <v>24000</v>
      </c>
      <c r="H603" s="213">
        <v>38300</v>
      </c>
      <c r="I603" s="213">
        <v>150</v>
      </c>
      <c r="J603" s="3" t="s">
        <v>839</v>
      </c>
    </row>
    <row r="604" spans="4:10" x14ac:dyDescent="0.25">
      <c r="D604" s="213" t="s">
        <v>446</v>
      </c>
      <c r="E604" s="213">
        <v>2400</v>
      </c>
      <c r="F604" s="213">
        <v>19</v>
      </c>
      <c r="G604" s="213">
        <v>24000</v>
      </c>
      <c r="H604" s="213">
        <v>38500</v>
      </c>
      <c r="I604" s="213">
        <v>150</v>
      </c>
      <c r="J604" s="3" t="s">
        <v>840</v>
      </c>
    </row>
    <row r="605" spans="4:10" x14ac:dyDescent="0.25">
      <c r="D605" s="213" t="s">
        <v>446</v>
      </c>
      <c r="E605" s="213">
        <v>2400</v>
      </c>
      <c r="F605" s="213">
        <v>25</v>
      </c>
      <c r="G605" s="213">
        <v>24000</v>
      </c>
      <c r="H605" s="213">
        <v>38700</v>
      </c>
      <c r="I605" s="213">
        <v>150</v>
      </c>
      <c r="J605" s="3" t="s">
        <v>841</v>
      </c>
    </row>
    <row r="606" spans="4:10" x14ac:dyDescent="0.25">
      <c r="D606" s="213" t="s">
        <v>446</v>
      </c>
      <c r="E606" s="213">
        <v>2400</v>
      </c>
      <c r="F606" s="213">
        <v>32</v>
      </c>
      <c r="G606" s="213">
        <v>24000</v>
      </c>
      <c r="H606" s="213">
        <v>38600</v>
      </c>
      <c r="I606" s="213">
        <v>150</v>
      </c>
      <c r="J606" s="3" t="s">
        <v>842</v>
      </c>
    </row>
    <row r="607" spans="4:10" x14ac:dyDescent="0.25">
      <c r="D607" s="213" t="s">
        <v>446</v>
      </c>
      <c r="E607" s="213">
        <v>2400</v>
      </c>
      <c r="F607" s="213">
        <v>38</v>
      </c>
      <c r="G607" s="213">
        <v>24000</v>
      </c>
      <c r="H607" s="213">
        <v>38400</v>
      </c>
      <c r="I607" s="213">
        <v>150</v>
      </c>
      <c r="J607" s="3" t="s">
        <v>843</v>
      </c>
    </row>
    <row r="608" spans="4:10" x14ac:dyDescent="0.25">
      <c r="D608" s="213" t="s">
        <v>446</v>
      </c>
      <c r="E608" s="213">
        <v>2400</v>
      </c>
      <c r="F608" s="213">
        <v>50</v>
      </c>
      <c r="G608" s="213">
        <v>24000</v>
      </c>
      <c r="H608" s="213">
        <v>39200</v>
      </c>
      <c r="I608" s="213">
        <v>150</v>
      </c>
      <c r="J608" s="3" t="s">
        <v>844</v>
      </c>
    </row>
    <row r="609" spans="4:10" x14ac:dyDescent="0.25">
      <c r="D609" s="213" t="s">
        <v>446</v>
      </c>
      <c r="E609" s="213">
        <v>2400</v>
      </c>
      <c r="F609" s="213">
        <v>63</v>
      </c>
      <c r="G609" s="213">
        <v>24000</v>
      </c>
      <c r="H609" s="213">
        <v>39200</v>
      </c>
      <c r="I609" s="213">
        <v>150</v>
      </c>
      <c r="J609" s="3" t="s">
        <v>845</v>
      </c>
    </row>
    <row r="610" spans="4:10" x14ac:dyDescent="0.25">
      <c r="D610" s="213" t="s">
        <v>446</v>
      </c>
      <c r="E610" s="213">
        <v>2400</v>
      </c>
      <c r="F610" s="213">
        <v>75</v>
      </c>
      <c r="G610" s="213">
        <v>24000</v>
      </c>
      <c r="H610" s="213">
        <v>39200</v>
      </c>
      <c r="I610" s="213">
        <v>150</v>
      </c>
      <c r="J610" s="3" t="s">
        <v>846</v>
      </c>
    </row>
    <row r="611" spans="4:10" x14ac:dyDescent="0.25">
      <c r="D611" s="213" t="s">
        <v>446</v>
      </c>
      <c r="E611" s="213">
        <v>2400</v>
      </c>
      <c r="F611" s="213">
        <v>80</v>
      </c>
      <c r="G611" s="213">
        <v>24000</v>
      </c>
      <c r="H611" s="213">
        <v>39200</v>
      </c>
      <c r="I611" s="213">
        <v>150</v>
      </c>
      <c r="J611" s="3" t="s">
        <v>847</v>
      </c>
    </row>
    <row r="612" spans="4:10" x14ac:dyDescent="0.25">
      <c r="D612" s="213" t="s">
        <v>446</v>
      </c>
      <c r="E612" s="213">
        <v>2400</v>
      </c>
      <c r="F612" s="213">
        <v>100</v>
      </c>
      <c r="G612" s="213">
        <v>24000</v>
      </c>
      <c r="H612" s="213">
        <v>39300</v>
      </c>
      <c r="I612" s="213">
        <v>150</v>
      </c>
      <c r="J612" s="3" t="s">
        <v>848</v>
      </c>
    </row>
    <row r="613" spans="4:10" x14ac:dyDescent="0.25">
      <c r="D613" s="213" t="s">
        <v>446</v>
      </c>
      <c r="E613" s="213">
        <v>2400</v>
      </c>
      <c r="F613" s="213">
        <v>125</v>
      </c>
      <c r="G613" s="213">
        <v>24000</v>
      </c>
      <c r="H613" s="213">
        <v>39300</v>
      </c>
      <c r="I613" s="213">
        <v>150</v>
      </c>
      <c r="J613" s="3" t="s">
        <v>849</v>
      </c>
    </row>
    <row r="614" spans="4:10" x14ac:dyDescent="0.25">
      <c r="D614" s="213" t="s">
        <v>446</v>
      </c>
      <c r="E614" s="213">
        <v>4200</v>
      </c>
      <c r="F614" s="213">
        <v>16</v>
      </c>
      <c r="G614" s="213">
        <v>42000</v>
      </c>
      <c r="H614" s="213">
        <v>61700</v>
      </c>
      <c r="I614" s="213">
        <v>150</v>
      </c>
      <c r="J614" s="3" t="s">
        <v>850</v>
      </c>
    </row>
    <row r="615" spans="4:10" x14ac:dyDescent="0.25">
      <c r="D615" s="213" t="s">
        <v>446</v>
      </c>
      <c r="E615" s="213">
        <v>4200</v>
      </c>
      <c r="F615" s="213">
        <v>19</v>
      </c>
      <c r="G615" s="213">
        <v>42000</v>
      </c>
      <c r="H615" s="213">
        <v>63700</v>
      </c>
      <c r="I615" s="213">
        <v>150</v>
      </c>
      <c r="J615" s="3" t="s">
        <v>851</v>
      </c>
    </row>
    <row r="616" spans="4:10" x14ac:dyDescent="0.25">
      <c r="D616" s="213" t="s">
        <v>446</v>
      </c>
      <c r="E616" s="213">
        <v>4200</v>
      </c>
      <c r="F616" s="213">
        <v>25</v>
      </c>
      <c r="G616" s="213">
        <v>42000</v>
      </c>
      <c r="H616" s="213">
        <v>60800</v>
      </c>
      <c r="I616" s="213">
        <v>150</v>
      </c>
      <c r="J616" s="3" t="s">
        <v>852</v>
      </c>
    </row>
    <row r="617" spans="4:10" x14ac:dyDescent="0.25">
      <c r="D617" s="213" t="s">
        <v>446</v>
      </c>
      <c r="E617" s="213">
        <v>4200</v>
      </c>
      <c r="F617" s="213">
        <v>32</v>
      </c>
      <c r="G617" s="213">
        <v>42000</v>
      </c>
      <c r="H617" s="213">
        <v>64300</v>
      </c>
      <c r="I617" s="213">
        <v>150</v>
      </c>
      <c r="J617" s="3" t="s">
        <v>853</v>
      </c>
    </row>
    <row r="618" spans="4:10" x14ac:dyDescent="0.25">
      <c r="D618" s="213" t="s">
        <v>446</v>
      </c>
      <c r="E618" s="213">
        <v>4200</v>
      </c>
      <c r="F618" s="213">
        <v>38</v>
      </c>
      <c r="G618" s="213">
        <v>42000</v>
      </c>
      <c r="H618" s="213">
        <v>65800</v>
      </c>
      <c r="I618" s="213">
        <v>150</v>
      </c>
      <c r="J618" s="3" t="s">
        <v>854</v>
      </c>
    </row>
    <row r="619" spans="4:10" x14ac:dyDescent="0.25">
      <c r="D619" s="213" t="s">
        <v>446</v>
      </c>
      <c r="E619" s="213">
        <v>4200</v>
      </c>
      <c r="F619" s="213">
        <v>50</v>
      </c>
      <c r="G619" s="213">
        <v>42000</v>
      </c>
      <c r="H619" s="213">
        <v>67000</v>
      </c>
      <c r="I619" s="213">
        <v>150</v>
      </c>
      <c r="J619" s="3" t="s">
        <v>855</v>
      </c>
    </row>
    <row r="620" spans="4:10" x14ac:dyDescent="0.25">
      <c r="D620" s="213" t="s">
        <v>446</v>
      </c>
      <c r="E620" s="213">
        <v>4200</v>
      </c>
      <c r="F620" s="213">
        <v>63</v>
      </c>
      <c r="G620" s="213">
        <v>42000</v>
      </c>
      <c r="H620" s="213">
        <v>67800</v>
      </c>
      <c r="I620" s="213">
        <v>150</v>
      </c>
      <c r="J620" s="3" t="s">
        <v>856</v>
      </c>
    </row>
    <row r="621" spans="4:10" x14ac:dyDescent="0.25">
      <c r="D621" s="213" t="s">
        <v>446</v>
      </c>
      <c r="E621" s="213">
        <v>4200</v>
      </c>
      <c r="F621" s="213">
        <v>75</v>
      </c>
      <c r="G621" s="213">
        <v>42000</v>
      </c>
      <c r="H621" s="213">
        <v>68000</v>
      </c>
      <c r="I621" s="213">
        <v>150</v>
      </c>
      <c r="J621" s="3" t="s">
        <v>857</v>
      </c>
    </row>
    <row r="622" spans="4:10" x14ac:dyDescent="0.25">
      <c r="D622" s="213" t="s">
        <v>446</v>
      </c>
      <c r="E622" s="213">
        <v>4200</v>
      </c>
      <c r="F622" s="213">
        <v>80</v>
      </c>
      <c r="G622" s="213">
        <v>42000</v>
      </c>
      <c r="H622" s="213">
        <v>68600</v>
      </c>
      <c r="I622" s="213">
        <v>150</v>
      </c>
      <c r="J622" s="3" t="s">
        <v>858</v>
      </c>
    </row>
    <row r="623" spans="4:10" x14ac:dyDescent="0.25">
      <c r="D623" s="213" t="s">
        <v>446</v>
      </c>
      <c r="E623" s="213">
        <v>4200</v>
      </c>
      <c r="F623" s="213">
        <v>100</v>
      </c>
      <c r="G623" s="213">
        <v>42000</v>
      </c>
      <c r="H623" s="213">
        <v>69100</v>
      </c>
      <c r="I623" s="213">
        <v>150</v>
      </c>
      <c r="J623" s="3" t="s">
        <v>859</v>
      </c>
    </row>
    <row r="624" spans="4:10" x14ac:dyDescent="0.25">
      <c r="D624" s="213" t="s">
        <v>446</v>
      </c>
      <c r="E624" s="213">
        <v>4200</v>
      </c>
      <c r="F624" s="213">
        <v>125</v>
      </c>
      <c r="G624" s="213">
        <v>42000</v>
      </c>
      <c r="H624" s="213">
        <v>69600</v>
      </c>
      <c r="I624" s="213">
        <v>150</v>
      </c>
      <c r="J624" s="3" t="s">
        <v>860</v>
      </c>
    </row>
    <row r="625" spans="4:10" x14ac:dyDescent="0.25">
      <c r="D625" s="213" t="s">
        <v>446</v>
      </c>
      <c r="E625" s="213">
        <v>6600</v>
      </c>
      <c r="F625" s="213">
        <v>16</v>
      </c>
      <c r="G625" s="213">
        <v>66300</v>
      </c>
      <c r="H625" s="213">
        <v>89000</v>
      </c>
      <c r="I625" s="213">
        <v>150</v>
      </c>
      <c r="J625" s="3" t="s">
        <v>861</v>
      </c>
    </row>
    <row r="626" spans="4:10" x14ac:dyDescent="0.25">
      <c r="D626" s="213" t="s">
        <v>446</v>
      </c>
      <c r="E626" s="213">
        <v>6600</v>
      </c>
      <c r="F626" s="213">
        <v>19</v>
      </c>
      <c r="G626" s="213">
        <v>66300</v>
      </c>
      <c r="H626" s="213">
        <v>91000</v>
      </c>
      <c r="I626" s="213">
        <v>150</v>
      </c>
      <c r="J626" s="3" t="s">
        <v>862</v>
      </c>
    </row>
    <row r="627" spans="4:10" x14ac:dyDescent="0.25">
      <c r="D627" s="213" t="s">
        <v>446</v>
      </c>
      <c r="E627" s="213">
        <v>6600</v>
      </c>
      <c r="F627" s="213">
        <v>25</v>
      </c>
      <c r="G627" s="213">
        <v>66300</v>
      </c>
      <c r="H627" s="213">
        <v>93900</v>
      </c>
      <c r="I627" s="213">
        <v>150</v>
      </c>
      <c r="J627" s="3" t="s">
        <v>863</v>
      </c>
    </row>
    <row r="628" spans="4:10" x14ac:dyDescent="0.25">
      <c r="D628" s="213" t="s">
        <v>446</v>
      </c>
      <c r="E628" s="213">
        <v>6600</v>
      </c>
      <c r="F628" s="213">
        <v>32</v>
      </c>
      <c r="G628" s="213">
        <v>66300</v>
      </c>
      <c r="H628" s="213">
        <v>96100</v>
      </c>
      <c r="I628" s="213">
        <v>150</v>
      </c>
      <c r="J628" s="3" t="s">
        <v>864</v>
      </c>
    </row>
    <row r="629" spans="4:10" x14ac:dyDescent="0.25">
      <c r="D629" s="213" t="s">
        <v>446</v>
      </c>
      <c r="E629" s="213">
        <v>6600</v>
      </c>
      <c r="F629" s="213">
        <v>38</v>
      </c>
      <c r="G629" s="213">
        <v>66300</v>
      </c>
      <c r="H629" s="213">
        <v>98200</v>
      </c>
      <c r="I629" s="213">
        <v>150</v>
      </c>
      <c r="J629" s="3" t="s">
        <v>865</v>
      </c>
    </row>
    <row r="630" spans="4:10" x14ac:dyDescent="0.25">
      <c r="D630" s="213" t="s">
        <v>446</v>
      </c>
      <c r="E630" s="213">
        <v>6600</v>
      </c>
      <c r="F630" s="213">
        <v>50</v>
      </c>
      <c r="G630" s="213">
        <v>66300</v>
      </c>
      <c r="H630" s="213">
        <v>100600</v>
      </c>
      <c r="I630" s="213">
        <v>150</v>
      </c>
      <c r="J630" s="3" t="s">
        <v>866</v>
      </c>
    </row>
    <row r="631" spans="4:10" x14ac:dyDescent="0.25">
      <c r="D631" s="213" t="s">
        <v>446</v>
      </c>
      <c r="E631" s="213">
        <v>6600</v>
      </c>
      <c r="F631" s="213">
        <v>63</v>
      </c>
      <c r="G631" s="213">
        <v>66300</v>
      </c>
      <c r="H631" s="213">
        <v>102400</v>
      </c>
      <c r="I631" s="213">
        <v>150</v>
      </c>
      <c r="J631" s="3" t="s">
        <v>867</v>
      </c>
    </row>
    <row r="632" spans="4:10" x14ac:dyDescent="0.25">
      <c r="D632" s="213" t="s">
        <v>446</v>
      </c>
      <c r="E632" s="213">
        <v>6600</v>
      </c>
      <c r="F632" s="213">
        <v>75</v>
      </c>
      <c r="G632" s="213">
        <v>66300</v>
      </c>
      <c r="H632" s="213">
        <v>103400</v>
      </c>
      <c r="I632" s="213">
        <v>150</v>
      </c>
      <c r="J632" s="3" t="s">
        <v>868</v>
      </c>
    </row>
    <row r="633" spans="4:10" x14ac:dyDescent="0.25">
      <c r="D633" s="213" t="s">
        <v>446</v>
      </c>
      <c r="E633" s="213">
        <v>6600</v>
      </c>
      <c r="F633" s="213">
        <v>80</v>
      </c>
      <c r="G633" s="213">
        <v>66300</v>
      </c>
      <c r="H633" s="213">
        <v>104100</v>
      </c>
      <c r="I633" s="213">
        <v>150</v>
      </c>
      <c r="J633" s="3" t="s">
        <v>869</v>
      </c>
    </row>
    <row r="634" spans="4:10" x14ac:dyDescent="0.25">
      <c r="D634" s="213" t="s">
        <v>446</v>
      </c>
      <c r="E634" s="213">
        <v>6600</v>
      </c>
      <c r="F634" s="213">
        <v>100</v>
      </c>
      <c r="G634" s="213">
        <v>66300</v>
      </c>
      <c r="H634" s="213">
        <v>105400</v>
      </c>
      <c r="I634" s="213">
        <v>150</v>
      </c>
      <c r="J634" s="3" t="s">
        <v>870</v>
      </c>
    </row>
    <row r="635" spans="4:10" x14ac:dyDescent="0.25">
      <c r="D635" s="213" t="s">
        <v>446</v>
      </c>
      <c r="E635" s="213">
        <v>6600</v>
      </c>
      <c r="F635" s="213">
        <v>125</v>
      </c>
      <c r="G635" s="213">
        <v>66300</v>
      </c>
      <c r="H635" s="213">
        <v>106500</v>
      </c>
      <c r="I635" s="213">
        <v>150</v>
      </c>
      <c r="J635" s="3" t="s">
        <v>871</v>
      </c>
    </row>
    <row r="636" spans="4:10" x14ac:dyDescent="0.25">
      <c r="D636" s="213" t="s">
        <v>65</v>
      </c>
      <c r="E636" s="213" t="s">
        <v>65</v>
      </c>
      <c r="F636" s="213">
        <v>7</v>
      </c>
      <c r="G636" s="213">
        <v>500</v>
      </c>
      <c r="H636" s="213">
        <v>597</v>
      </c>
      <c r="I636" s="213">
        <v>180</v>
      </c>
      <c r="J636" s="213" t="s">
        <v>872</v>
      </c>
    </row>
    <row r="637" spans="4:10" x14ac:dyDescent="0.25">
      <c r="D637" s="213" t="s">
        <v>65</v>
      </c>
      <c r="E637" s="213" t="s">
        <v>65</v>
      </c>
      <c r="F637" s="213">
        <v>10</v>
      </c>
      <c r="G637" s="213">
        <v>500</v>
      </c>
      <c r="H637" s="213">
        <v>634</v>
      </c>
      <c r="I637" s="213">
        <v>180</v>
      </c>
      <c r="J637" s="213" t="s">
        <v>873</v>
      </c>
    </row>
    <row r="638" spans="4:10" x14ac:dyDescent="0.25">
      <c r="D638" s="213" t="s">
        <v>65</v>
      </c>
      <c r="E638" s="213" t="s">
        <v>65</v>
      </c>
      <c r="F638" s="213">
        <v>12.7</v>
      </c>
      <c r="G638" s="213">
        <v>500</v>
      </c>
      <c r="H638" s="213">
        <v>657</v>
      </c>
      <c r="I638" s="213">
        <v>180</v>
      </c>
      <c r="J638" s="213" t="s">
        <v>874</v>
      </c>
    </row>
    <row r="639" spans="4:10" x14ac:dyDescent="0.25">
      <c r="D639" s="213" t="s">
        <v>65</v>
      </c>
      <c r="E639" s="213" t="s">
        <v>65</v>
      </c>
      <c r="F639" s="213">
        <v>15</v>
      </c>
      <c r="G639" s="213">
        <v>500</v>
      </c>
      <c r="H639" s="213">
        <v>670</v>
      </c>
      <c r="I639" s="213">
        <v>180</v>
      </c>
      <c r="J639" s="213" t="s">
        <v>875</v>
      </c>
    </row>
    <row r="640" spans="4:10" x14ac:dyDescent="0.25">
      <c r="D640" s="213" t="s">
        <v>65</v>
      </c>
      <c r="E640" s="213" t="s">
        <v>65</v>
      </c>
      <c r="F640" s="213">
        <v>19</v>
      </c>
      <c r="G640" s="213">
        <v>500</v>
      </c>
      <c r="H640" s="213">
        <v>689</v>
      </c>
      <c r="I640" s="213">
        <v>180</v>
      </c>
      <c r="J640" s="213" t="s">
        <v>876</v>
      </c>
    </row>
    <row r="641" spans="4:10" x14ac:dyDescent="0.25">
      <c r="D641" s="213" t="s">
        <v>65</v>
      </c>
      <c r="E641" s="213" t="s">
        <v>65</v>
      </c>
      <c r="F641" s="213">
        <v>25</v>
      </c>
      <c r="G641" s="213">
        <v>500</v>
      </c>
      <c r="H641" s="213">
        <v>707</v>
      </c>
      <c r="I641" s="213">
        <v>180</v>
      </c>
      <c r="J641" s="213" t="s">
        <v>877</v>
      </c>
    </row>
    <row r="642" spans="4:10" x14ac:dyDescent="0.25">
      <c r="D642" s="213" t="s">
        <v>65</v>
      </c>
      <c r="E642" s="213" t="s">
        <v>65</v>
      </c>
      <c r="F642" s="213">
        <v>38.1</v>
      </c>
      <c r="G642" s="213">
        <v>500</v>
      </c>
      <c r="H642" s="213">
        <v>730</v>
      </c>
      <c r="I642" s="213">
        <v>180</v>
      </c>
      <c r="J642" s="213" t="s">
        <v>878</v>
      </c>
    </row>
    <row r="643" spans="4:10" x14ac:dyDescent="0.25">
      <c r="D643" s="213" t="s">
        <v>65</v>
      </c>
      <c r="E643" s="213" t="s">
        <v>65</v>
      </c>
      <c r="F643" s="213">
        <v>50</v>
      </c>
      <c r="G643" s="213">
        <v>500</v>
      </c>
      <c r="H643" s="213">
        <v>742</v>
      </c>
      <c r="I643" s="213">
        <v>180</v>
      </c>
      <c r="J643" s="213" t="s">
        <v>879</v>
      </c>
    </row>
    <row r="644" spans="4:10" x14ac:dyDescent="0.25">
      <c r="D644" s="213" t="s">
        <v>65</v>
      </c>
      <c r="E644" s="213" t="s">
        <v>65</v>
      </c>
      <c r="F644" s="213">
        <v>63.5</v>
      </c>
      <c r="G644" s="213">
        <v>500</v>
      </c>
      <c r="H644" s="213">
        <v>789</v>
      </c>
      <c r="I644" s="213">
        <v>180</v>
      </c>
      <c r="J644" s="213" t="s">
        <v>880</v>
      </c>
    </row>
    <row r="645" spans="4:10" x14ac:dyDescent="0.25">
      <c r="D645" s="213" t="s">
        <v>65</v>
      </c>
      <c r="E645" s="213" t="s">
        <v>65</v>
      </c>
      <c r="F645" s="213">
        <v>75</v>
      </c>
      <c r="G645" s="213">
        <v>500</v>
      </c>
      <c r="H645" s="213">
        <v>788</v>
      </c>
      <c r="I645" s="213">
        <v>180</v>
      </c>
      <c r="J645" s="213" t="s">
        <v>881</v>
      </c>
    </row>
    <row r="646" spans="4:10" x14ac:dyDescent="0.25">
      <c r="D646" s="213" t="s">
        <v>65</v>
      </c>
      <c r="E646" s="213" t="s">
        <v>65</v>
      </c>
      <c r="F646" s="213">
        <v>80</v>
      </c>
      <c r="G646" s="213">
        <v>500</v>
      </c>
      <c r="H646" s="213">
        <v>827</v>
      </c>
      <c r="I646" s="213">
        <v>180</v>
      </c>
      <c r="J646" s="213" t="s">
        <v>882</v>
      </c>
    </row>
    <row r="647" spans="4:10" x14ac:dyDescent="0.25">
      <c r="D647" s="213" t="s">
        <v>65</v>
      </c>
      <c r="E647" s="213" t="s">
        <v>65</v>
      </c>
      <c r="F647" s="213">
        <v>100</v>
      </c>
      <c r="G647" s="213">
        <v>500</v>
      </c>
      <c r="H647" s="213">
        <v>817</v>
      </c>
      <c r="I647" s="213">
        <v>180</v>
      </c>
      <c r="J647" s="213" t="s">
        <v>883</v>
      </c>
    </row>
    <row r="648" spans="4:10" x14ac:dyDescent="0.25">
      <c r="D648" s="213" t="s">
        <v>65</v>
      </c>
      <c r="E648" s="213" t="s">
        <v>65</v>
      </c>
      <c r="F648" s="213">
        <v>125</v>
      </c>
      <c r="G648" s="213">
        <v>500</v>
      </c>
      <c r="H648" s="213">
        <v>810</v>
      </c>
      <c r="I648" s="213">
        <v>180</v>
      </c>
      <c r="J648" s="213" t="s">
        <v>884</v>
      </c>
    </row>
    <row r="649" spans="4:10" x14ac:dyDescent="0.25">
      <c r="D649" s="213" t="s">
        <v>66</v>
      </c>
      <c r="E649" s="213" t="s">
        <v>66</v>
      </c>
      <c r="F649" s="213">
        <v>7</v>
      </c>
      <c r="G649" s="213">
        <v>700</v>
      </c>
      <c r="H649" s="213">
        <v>865</v>
      </c>
      <c r="I649" s="213">
        <v>180</v>
      </c>
      <c r="J649" s="213" t="s">
        <v>885</v>
      </c>
    </row>
    <row r="650" spans="4:10" x14ac:dyDescent="0.25">
      <c r="D650" s="213" t="s">
        <v>66</v>
      </c>
      <c r="E650" s="213" t="s">
        <v>66</v>
      </c>
      <c r="F650" s="213">
        <v>10</v>
      </c>
      <c r="G650" s="213">
        <v>700</v>
      </c>
      <c r="H650" s="213">
        <v>895</v>
      </c>
      <c r="I650" s="213">
        <v>180</v>
      </c>
      <c r="J650" s="213" t="s">
        <v>886</v>
      </c>
    </row>
    <row r="651" spans="4:10" x14ac:dyDescent="0.25">
      <c r="D651" s="213" t="s">
        <v>66</v>
      </c>
      <c r="E651" s="213" t="s">
        <v>66</v>
      </c>
      <c r="F651" s="213">
        <v>12.7</v>
      </c>
      <c r="G651" s="213">
        <v>700</v>
      </c>
      <c r="H651" s="213">
        <v>914</v>
      </c>
      <c r="I651" s="213">
        <v>180</v>
      </c>
      <c r="J651" s="213" t="s">
        <v>887</v>
      </c>
    </row>
    <row r="652" spans="4:10" x14ac:dyDescent="0.25">
      <c r="D652" s="213" t="s">
        <v>66</v>
      </c>
      <c r="E652" s="213" t="s">
        <v>66</v>
      </c>
      <c r="F652" s="213">
        <v>15</v>
      </c>
      <c r="G652" s="213">
        <v>700</v>
      </c>
      <c r="H652" s="213">
        <v>927</v>
      </c>
      <c r="I652" s="213">
        <v>180</v>
      </c>
      <c r="J652" s="213" t="s">
        <v>888</v>
      </c>
    </row>
    <row r="653" spans="4:10" x14ac:dyDescent="0.25">
      <c r="D653" s="213" t="s">
        <v>66</v>
      </c>
      <c r="E653" s="213" t="s">
        <v>66</v>
      </c>
      <c r="F653" s="213">
        <v>19</v>
      </c>
      <c r="G653" s="213">
        <v>700</v>
      </c>
      <c r="H653" s="213">
        <v>943</v>
      </c>
      <c r="I653" s="213">
        <v>180</v>
      </c>
      <c r="J653" s="213" t="s">
        <v>889</v>
      </c>
    </row>
    <row r="654" spans="4:10" x14ac:dyDescent="0.25">
      <c r="D654" s="213" t="s">
        <v>66</v>
      </c>
      <c r="E654" s="213" t="s">
        <v>66</v>
      </c>
      <c r="F654" s="213">
        <v>25</v>
      </c>
      <c r="G654" s="213">
        <v>700</v>
      </c>
      <c r="H654" s="213">
        <v>961</v>
      </c>
      <c r="I654" s="213">
        <v>180</v>
      </c>
      <c r="J654" s="213" t="s">
        <v>890</v>
      </c>
    </row>
    <row r="655" spans="4:10" x14ac:dyDescent="0.25">
      <c r="D655" s="213" t="s">
        <v>66</v>
      </c>
      <c r="E655" s="213" t="s">
        <v>66</v>
      </c>
      <c r="F655" s="213">
        <v>38.1</v>
      </c>
      <c r="G655" s="213">
        <v>700</v>
      </c>
      <c r="H655" s="213">
        <v>1032</v>
      </c>
      <c r="I655" s="213">
        <v>180</v>
      </c>
      <c r="J655" s="213" t="s">
        <v>891</v>
      </c>
    </row>
    <row r="656" spans="4:10" x14ac:dyDescent="0.25">
      <c r="D656" s="213" t="s">
        <v>66</v>
      </c>
      <c r="E656" s="213" t="s">
        <v>66</v>
      </c>
      <c r="F656" s="213">
        <v>50</v>
      </c>
      <c r="G656" s="213">
        <v>700</v>
      </c>
      <c r="H656" s="213">
        <v>1033</v>
      </c>
      <c r="I656" s="213">
        <v>180</v>
      </c>
      <c r="J656" s="213" t="s">
        <v>892</v>
      </c>
    </row>
    <row r="657" spans="4:10" x14ac:dyDescent="0.25">
      <c r="D657" s="213" t="s">
        <v>66</v>
      </c>
      <c r="E657" s="213" t="s">
        <v>66</v>
      </c>
      <c r="F657" s="213">
        <v>63.5</v>
      </c>
      <c r="G657" s="213">
        <v>700</v>
      </c>
      <c r="H657" s="213">
        <v>1092</v>
      </c>
      <c r="I657" s="213">
        <v>180</v>
      </c>
      <c r="J657" s="213" t="s">
        <v>893</v>
      </c>
    </row>
    <row r="658" spans="4:10" x14ac:dyDescent="0.25">
      <c r="D658" s="213" t="s">
        <v>66</v>
      </c>
      <c r="E658" s="213" t="s">
        <v>66</v>
      </c>
      <c r="F658" s="213">
        <v>75</v>
      </c>
      <c r="G658" s="213">
        <v>700</v>
      </c>
      <c r="H658" s="213">
        <v>1082</v>
      </c>
      <c r="I658" s="213">
        <v>180</v>
      </c>
      <c r="J658" s="213" t="s">
        <v>894</v>
      </c>
    </row>
    <row r="659" spans="4:10" x14ac:dyDescent="0.25">
      <c r="D659" s="213" t="s">
        <v>66</v>
      </c>
      <c r="E659" s="213" t="s">
        <v>66</v>
      </c>
      <c r="F659" s="213">
        <v>80</v>
      </c>
      <c r="G659" s="213">
        <v>700</v>
      </c>
      <c r="H659" s="213">
        <v>1079</v>
      </c>
      <c r="I659" s="213">
        <v>180</v>
      </c>
      <c r="J659" s="213" t="s">
        <v>895</v>
      </c>
    </row>
    <row r="660" spans="4:10" x14ac:dyDescent="0.25">
      <c r="D660" s="213" t="s">
        <v>66</v>
      </c>
      <c r="E660" s="213" t="s">
        <v>66</v>
      </c>
      <c r="F660" s="213">
        <v>100</v>
      </c>
      <c r="G660" s="213">
        <v>700</v>
      </c>
      <c r="H660" s="213">
        <v>1069</v>
      </c>
      <c r="I660" s="213">
        <v>180</v>
      </c>
      <c r="J660" s="213" t="s">
        <v>896</v>
      </c>
    </row>
    <row r="661" spans="4:10" x14ac:dyDescent="0.25">
      <c r="D661" s="213" t="s">
        <v>66</v>
      </c>
      <c r="E661" s="213" t="s">
        <v>66</v>
      </c>
      <c r="F661" s="213">
        <v>125</v>
      </c>
      <c r="G661" s="213">
        <v>700</v>
      </c>
      <c r="H661" s="213">
        <v>1062</v>
      </c>
      <c r="I661" s="213">
        <v>180</v>
      </c>
      <c r="J661" s="213" t="s">
        <v>897</v>
      </c>
    </row>
    <row r="662" spans="4:10" x14ac:dyDescent="0.25">
      <c r="D662" s="213" t="s">
        <v>69</v>
      </c>
      <c r="E662" s="213">
        <v>750</v>
      </c>
      <c r="F662" s="213">
        <v>12.5</v>
      </c>
      <c r="G662" s="213">
        <v>7400</v>
      </c>
      <c r="H662" s="213">
        <v>11400</v>
      </c>
      <c r="I662" s="213">
        <v>150</v>
      </c>
      <c r="J662" s="3" t="s">
        <v>898</v>
      </c>
    </row>
    <row r="663" spans="4:10" x14ac:dyDescent="0.25">
      <c r="D663" s="213" t="s">
        <v>69</v>
      </c>
      <c r="E663" s="213">
        <v>750</v>
      </c>
      <c r="F663" s="213">
        <v>25</v>
      </c>
      <c r="G663" s="213">
        <v>7400</v>
      </c>
      <c r="H663" s="213">
        <v>11700</v>
      </c>
      <c r="I663" s="213">
        <v>150</v>
      </c>
      <c r="J663" s="3" t="s">
        <v>899</v>
      </c>
    </row>
    <row r="664" spans="4:10" x14ac:dyDescent="0.25">
      <c r="D664" s="213" t="s">
        <v>69</v>
      </c>
      <c r="E664" s="213">
        <v>750</v>
      </c>
      <c r="F664" s="213">
        <v>37.5</v>
      </c>
      <c r="G664" s="213">
        <v>7400</v>
      </c>
      <c r="H664" s="213">
        <v>11800</v>
      </c>
      <c r="I664" s="213">
        <v>150</v>
      </c>
      <c r="J664" s="3" t="s">
        <v>900</v>
      </c>
    </row>
    <row r="665" spans="4:10" x14ac:dyDescent="0.25">
      <c r="D665" s="213" t="s">
        <v>69</v>
      </c>
      <c r="E665" s="213">
        <v>750</v>
      </c>
      <c r="F665" s="213">
        <v>50</v>
      </c>
      <c r="G665" s="213">
        <v>7400</v>
      </c>
      <c r="H665" s="213">
        <v>11900</v>
      </c>
      <c r="I665" s="213">
        <v>150</v>
      </c>
      <c r="J665" s="3" t="s">
        <v>901</v>
      </c>
    </row>
    <row r="666" spans="4:10" x14ac:dyDescent="0.25">
      <c r="D666" s="213" t="s">
        <v>69</v>
      </c>
      <c r="E666" s="213">
        <v>750</v>
      </c>
      <c r="F666" s="213">
        <v>62.5</v>
      </c>
      <c r="G666" s="213">
        <v>7400</v>
      </c>
      <c r="H666" s="213">
        <v>11900</v>
      </c>
      <c r="I666" s="213">
        <v>150</v>
      </c>
      <c r="J666" s="3" t="s">
        <v>902</v>
      </c>
    </row>
    <row r="667" spans="4:10" x14ac:dyDescent="0.25">
      <c r="D667" s="213" t="s">
        <v>69</v>
      </c>
      <c r="E667" s="213">
        <v>750</v>
      </c>
      <c r="F667" s="213">
        <v>75</v>
      </c>
      <c r="G667" s="213">
        <v>7400</v>
      </c>
      <c r="H667" s="213">
        <v>11900</v>
      </c>
      <c r="I667" s="213">
        <v>150</v>
      </c>
      <c r="J667" s="3" t="s">
        <v>903</v>
      </c>
    </row>
    <row r="668" spans="4:10" x14ac:dyDescent="0.25">
      <c r="D668" s="213" t="s">
        <v>69</v>
      </c>
      <c r="E668" s="213">
        <v>750</v>
      </c>
      <c r="F668" s="213">
        <v>80</v>
      </c>
      <c r="G668" s="213">
        <v>7400</v>
      </c>
      <c r="H668" s="213">
        <v>11900</v>
      </c>
      <c r="I668" s="213">
        <v>150</v>
      </c>
      <c r="J668" s="3" t="s">
        <v>904</v>
      </c>
    </row>
    <row r="669" spans="4:10" x14ac:dyDescent="0.25">
      <c r="D669" s="213" t="s">
        <v>69</v>
      </c>
      <c r="E669" s="213">
        <v>750</v>
      </c>
      <c r="F669" s="213">
        <v>87.5</v>
      </c>
      <c r="G669" s="213">
        <v>7400</v>
      </c>
      <c r="H669" s="213">
        <v>11900</v>
      </c>
      <c r="I669" s="213">
        <v>150</v>
      </c>
      <c r="J669" s="3" t="s">
        <v>905</v>
      </c>
    </row>
    <row r="670" spans="4:10" x14ac:dyDescent="0.25">
      <c r="D670" s="213" t="s">
        <v>69</v>
      </c>
      <c r="E670" s="213">
        <v>750</v>
      </c>
      <c r="F670" s="213">
        <v>100</v>
      </c>
      <c r="G670" s="213">
        <v>7400</v>
      </c>
      <c r="H670" s="213">
        <v>11900</v>
      </c>
      <c r="I670" s="213">
        <v>150</v>
      </c>
      <c r="J670" s="3" t="s">
        <v>906</v>
      </c>
    </row>
    <row r="671" spans="4:10" x14ac:dyDescent="0.25">
      <c r="D671" s="213" t="s">
        <v>69</v>
      </c>
      <c r="E671" s="213">
        <v>750</v>
      </c>
      <c r="F671" s="213">
        <v>112.5</v>
      </c>
      <c r="G671" s="213">
        <v>7400</v>
      </c>
      <c r="H671" s="213">
        <v>12000</v>
      </c>
      <c r="I671" s="213">
        <v>150</v>
      </c>
      <c r="J671" s="3" t="s">
        <v>907</v>
      </c>
    </row>
    <row r="672" spans="4:10" x14ac:dyDescent="0.25">
      <c r="D672" s="213" t="s">
        <v>69</v>
      </c>
      <c r="E672" s="213">
        <v>750</v>
      </c>
      <c r="F672" s="213">
        <v>125</v>
      </c>
      <c r="G672" s="213">
        <v>7400</v>
      </c>
      <c r="H672" s="213">
        <v>12000</v>
      </c>
      <c r="I672" s="213">
        <v>150</v>
      </c>
      <c r="J672" s="3" t="s">
        <v>908</v>
      </c>
    </row>
    <row r="673" spans="4:10" x14ac:dyDescent="0.25">
      <c r="D673" s="213" t="s">
        <v>69</v>
      </c>
      <c r="E673" s="213">
        <v>750</v>
      </c>
      <c r="F673" s="213">
        <v>137.5</v>
      </c>
      <c r="G673" s="213">
        <v>7400</v>
      </c>
      <c r="H673" s="213">
        <v>12000</v>
      </c>
      <c r="I673" s="213">
        <v>150</v>
      </c>
      <c r="J673" s="3" t="s">
        <v>909</v>
      </c>
    </row>
    <row r="674" spans="4:10" x14ac:dyDescent="0.25">
      <c r="D674" s="213" t="s">
        <v>69</v>
      </c>
      <c r="E674" s="213">
        <v>750</v>
      </c>
      <c r="F674" s="213">
        <v>150</v>
      </c>
      <c r="G674" s="213">
        <v>7400</v>
      </c>
      <c r="H674" s="213">
        <v>12000</v>
      </c>
      <c r="I674" s="213">
        <v>150</v>
      </c>
      <c r="J674" s="3" t="s">
        <v>910</v>
      </c>
    </row>
    <row r="675" spans="4:10" x14ac:dyDescent="0.25">
      <c r="D675" s="213" t="s">
        <v>69</v>
      </c>
      <c r="E675" s="213">
        <v>750</v>
      </c>
      <c r="F675" s="213">
        <v>160</v>
      </c>
      <c r="G675" s="213">
        <v>7400</v>
      </c>
      <c r="H675" s="213">
        <v>12000</v>
      </c>
      <c r="I675" s="213">
        <v>150</v>
      </c>
      <c r="J675" s="3" t="s">
        <v>911</v>
      </c>
    </row>
    <row r="676" spans="4:10" x14ac:dyDescent="0.25">
      <c r="D676" s="213" t="s">
        <v>69</v>
      </c>
      <c r="E676" s="213">
        <v>750</v>
      </c>
      <c r="F676" s="213">
        <v>175</v>
      </c>
      <c r="G676" s="213">
        <v>7400</v>
      </c>
      <c r="H676" s="213">
        <v>12000</v>
      </c>
      <c r="I676" s="213">
        <v>150</v>
      </c>
      <c r="J676" s="3" t="s">
        <v>912</v>
      </c>
    </row>
    <row r="677" spans="4:10" x14ac:dyDescent="0.25">
      <c r="D677" s="213" t="s">
        <v>69</v>
      </c>
      <c r="E677" s="213">
        <v>750</v>
      </c>
      <c r="F677" s="213">
        <v>200</v>
      </c>
      <c r="G677" s="213">
        <v>7400</v>
      </c>
      <c r="H677" s="213">
        <v>12000</v>
      </c>
      <c r="I677" s="213">
        <v>150</v>
      </c>
      <c r="J677" s="3" t="s">
        <v>913</v>
      </c>
    </row>
    <row r="678" spans="4:10" x14ac:dyDescent="0.25">
      <c r="D678" s="213" t="s">
        <v>69</v>
      </c>
      <c r="E678" s="213">
        <v>750</v>
      </c>
      <c r="F678" s="213">
        <v>225</v>
      </c>
      <c r="G678" s="213">
        <v>7400</v>
      </c>
      <c r="H678" s="213">
        <v>12000</v>
      </c>
      <c r="I678" s="213">
        <v>150</v>
      </c>
      <c r="J678" s="3" t="s">
        <v>914</v>
      </c>
    </row>
    <row r="679" spans="4:10" x14ac:dyDescent="0.25">
      <c r="D679" s="213" t="s">
        <v>69</v>
      </c>
      <c r="E679" s="213">
        <v>750</v>
      </c>
      <c r="F679" s="213">
        <v>250</v>
      </c>
      <c r="G679" s="213">
        <v>7400</v>
      </c>
      <c r="H679" s="213">
        <v>12000</v>
      </c>
      <c r="I679" s="213">
        <v>150</v>
      </c>
      <c r="J679" s="3" t="s">
        <v>915</v>
      </c>
    </row>
    <row r="680" spans="4:10" x14ac:dyDescent="0.25">
      <c r="D680" s="213" t="s">
        <v>69</v>
      </c>
      <c r="E680" s="213">
        <v>1500</v>
      </c>
      <c r="F680" s="213">
        <v>12.5</v>
      </c>
      <c r="G680" s="213">
        <v>15000</v>
      </c>
      <c r="H680" s="213">
        <v>18000</v>
      </c>
      <c r="I680" s="213">
        <v>150</v>
      </c>
      <c r="J680" s="3" t="s">
        <v>916</v>
      </c>
    </row>
    <row r="681" spans="4:10" x14ac:dyDescent="0.25">
      <c r="D681" s="213" t="s">
        <v>69</v>
      </c>
      <c r="E681" s="213">
        <v>1500</v>
      </c>
      <c r="F681" s="213">
        <v>25</v>
      </c>
      <c r="G681" s="213">
        <v>15000</v>
      </c>
      <c r="H681" s="213">
        <v>19200</v>
      </c>
      <c r="I681" s="213">
        <v>150</v>
      </c>
      <c r="J681" s="3" t="s">
        <v>917</v>
      </c>
    </row>
    <row r="682" spans="4:10" x14ac:dyDescent="0.25">
      <c r="D682" s="213" t="s">
        <v>69</v>
      </c>
      <c r="E682" s="213">
        <v>1500</v>
      </c>
      <c r="F682" s="213">
        <v>37.5</v>
      </c>
      <c r="G682" s="213">
        <v>15000</v>
      </c>
      <c r="H682" s="213">
        <v>20000</v>
      </c>
      <c r="I682" s="213">
        <v>150</v>
      </c>
      <c r="J682" s="3" t="s">
        <v>918</v>
      </c>
    </row>
    <row r="683" spans="4:10" x14ac:dyDescent="0.25">
      <c r="D683" s="213" t="s">
        <v>69</v>
      </c>
      <c r="E683" s="213">
        <v>1500</v>
      </c>
      <c r="F683" s="213">
        <v>50</v>
      </c>
      <c r="G683" s="213">
        <v>15000</v>
      </c>
      <c r="H683" s="213">
        <v>20400</v>
      </c>
      <c r="I683" s="213">
        <v>150</v>
      </c>
      <c r="J683" s="3" t="s">
        <v>919</v>
      </c>
    </row>
    <row r="684" spans="4:10" x14ac:dyDescent="0.25">
      <c r="D684" s="213" t="s">
        <v>69</v>
      </c>
      <c r="E684" s="213">
        <v>1500</v>
      </c>
      <c r="F684" s="213">
        <v>62.5</v>
      </c>
      <c r="G684" s="213">
        <v>15000</v>
      </c>
      <c r="H684" s="213">
        <v>20700</v>
      </c>
      <c r="I684" s="213">
        <v>150</v>
      </c>
      <c r="J684" s="3" t="s">
        <v>920</v>
      </c>
    </row>
    <row r="685" spans="4:10" x14ac:dyDescent="0.25">
      <c r="D685" s="213" t="s">
        <v>69</v>
      </c>
      <c r="E685" s="213">
        <v>1500</v>
      </c>
      <c r="F685" s="213">
        <v>75</v>
      </c>
      <c r="G685" s="213">
        <v>15000</v>
      </c>
      <c r="H685" s="213">
        <v>20900</v>
      </c>
      <c r="I685" s="213">
        <v>150</v>
      </c>
      <c r="J685" s="3" t="s">
        <v>921</v>
      </c>
    </row>
    <row r="686" spans="4:10" x14ac:dyDescent="0.25">
      <c r="D686" s="213" t="s">
        <v>69</v>
      </c>
      <c r="E686" s="213">
        <v>1500</v>
      </c>
      <c r="F686" s="213">
        <v>80</v>
      </c>
      <c r="G686" s="213">
        <v>15000</v>
      </c>
      <c r="H686" s="213">
        <v>21000</v>
      </c>
      <c r="I686" s="213">
        <v>150</v>
      </c>
      <c r="J686" s="3" t="s">
        <v>922</v>
      </c>
    </row>
    <row r="687" spans="4:10" x14ac:dyDescent="0.25">
      <c r="D687" s="213" t="s">
        <v>69</v>
      </c>
      <c r="E687" s="213">
        <v>1500</v>
      </c>
      <c r="F687" s="213">
        <v>87.5</v>
      </c>
      <c r="G687" s="213">
        <v>15000</v>
      </c>
      <c r="H687" s="213">
        <v>21100</v>
      </c>
      <c r="I687" s="213">
        <v>150</v>
      </c>
      <c r="J687" s="3" t="s">
        <v>923</v>
      </c>
    </row>
    <row r="688" spans="4:10" x14ac:dyDescent="0.25">
      <c r="D688" s="213" t="s">
        <v>69</v>
      </c>
      <c r="E688" s="213">
        <v>1500</v>
      </c>
      <c r="F688" s="213">
        <v>100</v>
      </c>
      <c r="G688" s="213">
        <v>15000</v>
      </c>
      <c r="H688" s="213">
        <v>21200</v>
      </c>
      <c r="I688" s="213">
        <v>150</v>
      </c>
      <c r="J688" s="3" t="s">
        <v>924</v>
      </c>
    </row>
    <row r="689" spans="4:10" x14ac:dyDescent="0.25">
      <c r="D689" s="213" t="s">
        <v>69</v>
      </c>
      <c r="E689" s="213">
        <v>1500</v>
      </c>
      <c r="F689" s="213">
        <v>112.5</v>
      </c>
      <c r="G689" s="213">
        <v>15000</v>
      </c>
      <c r="H689" s="213">
        <v>21400</v>
      </c>
      <c r="I689" s="213">
        <v>150</v>
      </c>
      <c r="J689" s="3" t="s">
        <v>925</v>
      </c>
    </row>
    <row r="690" spans="4:10" x14ac:dyDescent="0.25">
      <c r="D690" s="213" t="s">
        <v>69</v>
      </c>
      <c r="E690" s="213">
        <v>1500</v>
      </c>
      <c r="F690" s="213">
        <v>125</v>
      </c>
      <c r="G690" s="213">
        <v>15000</v>
      </c>
      <c r="H690" s="213">
        <v>21500</v>
      </c>
      <c r="I690" s="213">
        <v>150</v>
      </c>
      <c r="J690" s="3" t="s">
        <v>926</v>
      </c>
    </row>
    <row r="691" spans="4:10" x14ac:dyDescent="0.25">
      <c r="D691" s="213" t="s">
        <v>69</v>
      </c>
      <c r="E691" s="213">
        <v>1500</v>
      </c>
      <c r="F691" s="213">
        <v>137.5</v>
      </c>
      <c r="G691" s="213">
        <v>15000</v>
      </c>
      <c r="H691" s="213">
        <v>22000</v>
      </c>
      <c r="I691" s="213">
        <v>150</v>
      </c>
      <c r="J691" s="3" t="s">
        <v>927</v>
      </c>
    </row>
    <row r="692" spans="4:10" x14ac:dyDescent="0.25">
      <c r="D692" s="213" t="s">
        <v>69</v>
      </c>
      <c r="E692" s="213">
        <v>1500</v>
      </c>
      <c r="F692" s="213">
        <v>150</v>
      </c>
      <c r="G692" s="213">
        <v>15000</v>
      </c>
      <c r="H692" s="213">
        <v>22000</v>
      </c>
      <c r="I692" s="213">
        <v>150</v>
      </c>
      <c r="J692" s="3" t="s">
        <v>928</v>
      </c>
    </row>
    <row r="693" spans="4:10" x14ac:dyDescent="0.25">
      <c r="D693" s="213" t="s">
        <v>69</v>
      </c>
      <c r="E693" s="213">
        <v>1500</v>
      </c>
      <c r="F693" s="213">
        <v>160</v>
      </c>
      <c r="G693" s="213">
        <v>15000</v>
      </c>
      <c r="H693" s="213">
        <v>22100</v>
      </c>
      <c r="I693" s="213">
        <v>150</v>
      </c>
      <c r="J693" s="3" t="s">
        <v>929</v>
      </c>
    </row>
    <row r="694" spans="4:10" x14ac:dyDescent="0.25">
      <c r="D694" s="213" t="s">
        <v>69</v>
      </c>
      <c r="E694" s="213">
        <v>1500</v>
      </c>
      <c r="F694" s="213">
        <v>175</v>
      </c>
      <c r="G694" s="213">
        <v>15000</v>
      </c>
      <c r="H694" s="213">
        <v>22100</v>
      </c>
      <c r="I694" s="213">
        <v>150</v>
      </c>
      <c r="J694" s="3" t="s">
        <v>930</v>
      </c>
    </row>
    <row r="695" spans="4:10" x14ac:dyDescent="0.25">
      <c r="D695" s="213" t="s">
        <v>69</v>
      </c>
      <c r="E695" s="213">
        <v>1500</v>
      </c>
      <c r="F695" s="213">
        <v>200</v>
      </c>
      <c r="G695" s="213">
        <v>15000</v>
      </c>
      <c r="H695" s="213">
        <v>22100</v>
      </c>
      <c r="I695" s="213">
        <v>150</v>
      </c>
      <c r="J695" s="3" t="s">
        <v>931</v>
      </c>
    </row>
    <row r="696" spans="4:10" x14ac:dyDescent="0.25">
      <c r="D696" s="213" t="s">
        <v>69</v>
      </c>
      <c r="E696" s="213">
        <v>1500</v>
      </c>
      <c r="F696" s="213">
        <v>225</v>
      </c>
      <c r="G696" s="213">
        <v>15000</v>
      </c>
      <c r="H696" s="213">
        <v>22200</v>
      </c>
      <c r="I696" s="213">
        <v>150</v>
      </c>
      <c r="J696" s="3" t="s">
        <v>932</v>
      </c>
    </row>
    <row r="697" spans="4:10" x14ac:dyDescent="0.25">
      <c r="D697" s="213" t="s">
        <v>69</v>
      </c>
      <c r="E697" s="213">
        <v>1500</v>
      </c>
      <c r="F697" s="213">
        <v>250</v>
      </c>
      <c r="G697" s="213">
        <v>15000</v>
      </c>
      <c r="H697" s="213">
        <v>22200</v>
      </c>
      <c r="I697" s="213">
        <v>150</v>
      </c>
      <c r="J697" s="3" t="s">
        <v>933</v>
      </c>
    </row>
    <row r="698" spans="4:10" x14ac:dyDescent="0.25">
      <c r="D698" s="213" t="s">
        <v>69</v>
      </c>
      <c r="E698" s="213">
        <v>3000</v>
      </c>
      <c r="F698" s="213">
        <v>12.5</v>
      </c>
      <c r="G698" s="213">
        <v>30000</v>
      </c>
      <c r="H698" s="213">
        <v>38700</v>
      </c>
      <c r="I698" s="213">
        <v>150</v>
      </c>
      <c r="J698" s="3" t="s">
        <v>934</v>
      </c>
    </row>
    <row r="699" spans="4:10" x14ac:dyDescent="0.25">
      <c r="D699" s="213" t="s">
        <v>69</v>
      </c>
      <c r="E699" s="213">
        <v>3000</v>
      </c>
      <c r="F699" s="213">
        <v>25</v>
      </c>
      <c r="G699" s="213">
        <v>30000</v>
      </c>
      <c r="H699" s="213">
        <v>41800</v>
      </c>
      <c r="I699" s="213">
        <v>150</v>
      </c>
      <c r="J699" s="3" t="s">
        <v>935</v>
      </c>
    </row>
    <row r="700" spans="4:10" x14ac:dyDescent="0.25">
      <c r="D700" s="213" t="s">
        <v>69</v>
      </c>
      <c r="E700" s="213">
        <v>3000</v>
      </c>
      <c r="F700" s="213">
        <v>37.5</v>
      </c>
      <c r="G700" s="213">
        <v>30000</v>
      </c>
      <c r="H700" s="213">
        <v>43500</v>
      </c>
      <c r="I700" s="213">
        <v>150</v>
      </c>
      <c r="J700" s="3" t="s">
        <v>936</v>
      </c>
    </row>
    <row r="701" spans="4:10" x14ac:dyDescent="0.25">
      <c r="D701" s="213" t="s">
        <v>69</v>
      </c>
      <c r="E701" s="213">
        <v>3000</v>
      </c>
      <c r="F701" s="213">
        <v>50</v>
      </c>
      <c r="G701" s="213">
        <v>30000</v>
      </c>
      <c r="H701" s="213">
        <v>44400</v>
      </c>
      <c r="I701" s="213">
        <v>150</v>
      </c>
      <c r="J701" s="3" t="s">
        <v>937</v>
      </c>
    </row>
    <row r="702" spans="4:10" x14ac:dyDescent="0.25">
      <c r="D702" s="213" t="s">
        <v>69</v>
      </c>
      <c r="E702" s="213">
        <v>3000</v>
      </c>
      <c r="F702" s="213">
        <v>62.5</v>
      </c>
      <c r="G702" s="213">
        <v>30000</v>
      </c>
      <c r="H702" s="213">
        <v>45100</v>
      </c>
      <c r="I702" s="213">
        <v>150</v>
      </c>
      <c r="J702" s="3" t="s">
        <v>938</v>
      </c>
    </row>
    <row r="703" spans="4:10" x14ac:dyDescent="0.25">
      <c r="D703" s="213" t="s">
        <v>69</v>
      </c>
      <c r="E703" s="213">
        <v>3000</v>
      </c>
      <c r="F703" s="213">
        <v>75</v>
      </c>
      <c r="G703" s="213">
        <v>30000</v>
      </c>
      <c r="H703" s="213">
        <v>45500</v>
      </c>
      <c r="I703" s="213">
        <v>150</v>
      </c>
      <c r="J703" s="3" t="s">
        <v>939</v>
      </c>
    </row>
    <row r="704" spans="4:10" x14ac:dyDescent="0.25">
      <c r="D704" s="213" t="s">
        <v>69</v>
      </c>
      <c r="E704" s="213">
        <v>3000</v>
      </c>
      <c r="F704" s="213">
        <v>80</v>
      </c>
      <c r="G704" s="213">
        <v>30000</v>
      </c>
      <c r="H704" s="213">
        <v>45600</v>
      </c>
      <c r="I704" s="213">
        <v>150</v>
      </c>
      <c r="J704" s="3" t="s">
        <v>940</v>
      </c>
    </row>
    <row r="705" spans="4:10" x14ac:dyDescent="0.25">
      <c r="D705" s="213" t="s">
        <v>69</v>
      </c>
      <c r="E705" s="213">
        <v>3000</v>
      </c>
      <c r="F705" s="213">
        <v>87.5</v>
      </c>
      <c r="G705" s="213">
        <v>30000</v>
      </c>
      <c r="H705" s="213">
        <v>45800</v>
      </c>
      <c r="I705" s="213">
        <v>150</v>
      </c>
      <c r="J705" s="3" t="s">
        <v>941</v>
      </c>
    </row>
    <row r="706" spans="4:10" x14ac:dyDescent="0.25">
      <c r="D706" s="213" t="s">
        <v>69</v>
      </c>
      <c r="E706" s="213">
        <v>3000</v>
      </c>
      <c r="F706" s="213">
        <v>100</v>
      </c>
      <c r="G706" s="213">
        <v>30000</v>
      </c>
      <c r="H706" s="213">
        <v>46100</v>
      </c>
      <c r="I706" s="213">
        <v>150</v>
      </c>
      <c r="J706" s="3" t="s">
        <v>942</v>
      </c>
    </row>
    <row r="707" spans="4:10" x14ac:dyDescent="0.25">
      <c r="D707" s="213" t="s">
        <v>69</v>
      </c>
      <c r="E707" s="213">
        <v>3000</v>
      </c>
      <c r="F707" s="213">
        <v>112.5</v>
      </c>
      <c r="G707" s="213">
        <v>30000</v>
      </c>
      <c r="H707" s="213">
        <v>46300</v>
      </c>
      <c r="I707" s="213">
        <v>150</v>
      </c>
      <c r="J707" s="3" t="s">
        <v>943</v>
      </c>
    </row>
    <row r="708" spans="4:10" x14ac:dyDescent="0.25">
      <c r="D708" s="213" t="s">
        <v>69</v>
      </c>
      <c r="E708" s="213">
        <v>3000</v>
      </c>
      <c r="F708" s="213">
        <v>125</v>
      </c>
      <c r="G708" s="213">
        <v>30000</v>
      </c>
      <c r="H708" s="213">
        <v>46500</v>
      </c>
      <c r="I708" s="213">
        <v>150</v>
      </c>
      <c r="J708" s="3" t="s">
        <v>944</v>
      </c>
    </row>
    <row r="709" spans="4:10" x14ac:dyDescent="0.25">
      <c r="D709" s="213" t="s">
        <v>69</v>
      </c>
      <c r="E709" s="213">
        <v>3000</v>
      </c>
      <c r="F709" s="213">
        <v>137.5</v>
      </c>
      <c r="G709" s="213">
        <v>30000</v>
      </c>
      <c r="H709" s="213">
        <v>46600</v>
      </c>
      <c r="I709" s="213">
        <v>150</v>
      </c>
      <c r="J709" s="3" t="s">
        <v>945</v>
      </c>
    </row>
    <row r="710" spans="4:10" x14ac:dyDescent="0.25">
      <c r="D710" s="213" t="s">
        <v>69</v>
      </c>
      <c r="E710" s="213">
        <v>3000</v>
      </c>
      <c r="F710" s="213">
        <v>150</v>
      </c>
      <c r="G710" s="213">
        <v>30000</v>
      </c>
      <c r="H710" s="213">
        <v>46800</v>
      </c>
      <c r="I710" s="213">
        <v>150</v>
      </c>
      <c r="J710" s="3" t="s">
        <v>946</v>
      </c>
    </row>
    <row r="711" spans="4:10" x14ac:dyDescent="0.25">
      <c r="D711" s="213" t="s">
        <v>69</v>
      </c>
      <c r="E711" s="213">
        <v>3000</v>
      </c>
      <c r="F711" s="213">
        <v>160</v>
      </c>
      <c r="G711" s="213">
        <v>30000</v>
      </c>
      <c r="H711" s="213">
        <v>46900</v>
      </c>
      <c r="I711" s="213">
        <v>150</v>
      </c>
      <c r="J711" s="3" t="s">
        <v>947</v>
      </c>
    </row>
    <row r="712" spans="4:10" x14ac:dyDescent="0.25">
      <c r="D712" s="213" t="s">
        <v>69</v>
      </c>
      <c r="E712" s="213">
        <v>3000</v>
      </c>
      <c r="F712" s="213">
        <v>175</v>
      </c>
      <c r="G712" s="213">
        <v>30000</v>
      </c>
      <c r="H712" s="213">
        <v>47000</v>
      </c>
      <c r="I712" s="213">
        <v>150</v>
      </c>
      <c r="J712" s="3" t="s">
        <v>948</v>
      </c>
    </row>
    <row r="713" spans="4:10" x14ac:dyDescent="0.25">
      <c r="D713" s="213" t="s">
        <v>69</v>
      </c>
      <c r="E713" s="213">
        <v>3000</v>
      </c>
      <c r="F713" s="213">
        <v>200</v>
      </c>
      <c r="G713" s="213">
        <v>30000</v>
      </c>
      <c r="H713" s="213">
        <v>47100</v>
      </c>
      <c r="I713" s="213">
        <v>150</v>
      </c>
      <c r="J713" s="3" t="s">
        <v>949</v>
      </c>
    </row>
    <row r="714" spans="4:10" x14ac:dyDescent="0.25">
      <c r="D714" s="213" t="s">
        <v>69</v>
      </c>
      <c r="E714" s="213">
        <v>3000</v>
      </c>
      <c r="F714" s="213">
        <v>225</v>
      </c>
      <c r="G714" s="213">
        <v>30000</v>
      </c>
      <c r="H714" s="213">
        <v>47200</v>
      </c>
      <c r="I714" s="213">
        <v>150</v>
      </c>
      <c r="J714" s="3" t="s">
        <v>950</v>
      </c>
    </row>
    <row r="715" spans="4:10" x14ac:dyDescent="0.25">
      <c r="D715" s="213" t="s">
        <v>69</v>
      </c>
      <c r="E715" s="213">
        <v>3000</v>
      </c>
      <c r="F715" s="213">
        <v>250</v>
      </c>
      <c r="G715" s="213">
        <v>30000</v>
      </c>
      <c r="H715" s="213">
        <v>47300</v>
      </c>
      <c r="I715" s="213">
        <v>150</v>
      </c>
      <c r="J715" s="3" t="s">
        <v>951</v>
      </c>
    </row>
    <row r="716" spans="4:10" x14ac:dyDescent="0.25">
      <c r="D716" s="213" t="s">
        <v>69</v>
      </c>
      <c r="E716" s="213">
        <v>5000</v>
      </c>
      <c r="F716" s="213">
        <v>25</v>
      </c>
      <c r="G716" s="213">
        <v>50000</v>
      </c>
      <c r="H716" s="213">
        <v>80100</v>
      </c>
      <c r="I716" s="213">
        <v>150</v>
      </c>
      <c r="J716" s="3" t="s">
        <v>952</v>
      </c>
    </row>
    <row r="717" spans="4:10" x14ac:dyDescent="0.25">
      <c r="D717" s="213" t="s">
        <v>69</v>
      </c>
      <c r="E717" s="213">
        <v>5000</v>
      </c>
      <c r="F717" s="213">
        <v>37.5</v>
      </c>
      <c r="G717" s="213">
        <v>50000</v>
      </c>
      <c r="H717" s="213">
        <v>81900</v>
      </c>
      <c r="I717" s="213">
        <v>150</v>
      </c>
      <c r="J717" s="3" t="s">
        <v>953</v>
      </c>
    </row>
    <row r="718" spans="4:10" x14ac:dyDescent="0.25">
      <c r="D718" s="213" t="s">
        <v>69</v>
      </c>
      <c r="E718" s="213">
        <v>5000</v>
      </c>
      <c r="F718" s="213">
        <v>50</v>
      </c>
      <c r="G718" s="213">
        <v>50000</v>
      </c>
      <c r="H718" s="213">
        <v>82800</v>
      </c>
      <c r="I718" s="213">
        <v>150</v>
      </c>
      <c r="J718" s="3" t="s">
        <v>954</v>
      </c>
    </row>
    <row r="719" spans="4:10" x14ac:dyDescent="0.25">
      <c r="D719" s="213" t="s">
        <v>69</v>
      </c>
      <c r="E719" s="213">
        <v>5000</v>
      </c>
      <c r="F719" s="213">
        <v>62.5</v>
      </c>
      <c r="G719" s="213">
        <v>50000</v>
      </c>
      <c r="H719" s="213">
        <v>83500</v>
      </c>
      <c r="I719" s="213">
        <v>150</v>
      </c>
      <c r="J719" s="3" t="s">
        <v>955</v>
      </c>
    </row>
    <row r="720" spans="4:10" x14ac:dyDescent="0.25">
      <c r="D720" s="213" t="s">
        <v>69</v>
      </c>
      <c r="E720" s="213">
        <v>5000</v>
      </c>
      <c r="F720" s="213">
        <v>75</v>
      </c>
      <c r="G720" s="213">
        <v>50000</v>
      </c>
      <c r="H720" s="213">
        <v>83800</v>
      </c>
      <c r="I720" s="213">
        <v>150</v>
      </c>
      <c r="J720" s="3" t="s">
        <v>956</v>
      </c>
    </row>
    <row r="721" spans="4:10" x14ac:dyDescent="0.25">
      <c r="D721" s="213" t="s">
        <v>69</v>
      </c>
      <c r="E721" s="213">
        <v>5000</v>
      </c>
      <c r="F721" s="213">
        <v>80</v>
      </c>
      <c r="G721" s="213">
        <v>50000</v>
      </c>
      <c r="H721" s="213">
        <v>84000</v>
      </c>
      <c r="I721" s="213">
        <v>150</v>
      </c>
      <c r="J721" s="3" t="s">
        <v>957</v>
      </c>
    </row>
    <row r="722" spans="4:10" x14ac:dyDescent="0.25">
      <c r="D722" s="213" t="s">
        <v>69</v>
      </c>
      <c r="E722" s="213">
        <v>5000</v>
      </c>
      <c r="F722" s="213">
        <v>87.5</v>
      </c>
      <c r="G722" s="213">
        <v>50000</v>
      </c>
      <c r="H722" s="213">
        <v>84100</v>
      </c>
      <c r="I722" s="213">
        <v>150</v>
      </c>
      <c r="J722" s="3" t="s">
        <v>958</v>
      </c>
    </row>
    <row r="723" spans="4:10" x14ac:dyDescent="0.25">
      <c r="D723" s="213" t="s">
        <v>69</v>
      </c>
      <c r="E723" s="213">
        <v>5000</v>
      </c>
      <c r="F723" s="213">
        <v>100</v>
      </c>
      <c r="G723" s="213">
        <v>50000</v>
      </c>
      <c r="H723" s="213">
        <v>84400</v>
      </c>
      <c r="I723" s="213">
        <v>150</v>
      </c>
      <c r="J723" s="3" t="s">
        <v>959</v>
      </c>
    </row>
    <row r="724" spans="4:10" x14ac:dyDescent="0.25">
      <c r="D724" s="213" t="s">
        <v>69</v>
      </c>
      <c r="E724" s="213">
        <v>5000</v>
      </c>
      <c r="F724" s="213">
        <v>112.5</v>
      </c>
      <c r="G724" s="213">
        <v>50000</v>
      </c>
      <c r="H724" s="213">
        <v>84500</v>
      </c>
      <c r="I724" s="213">
        <v>150</v>
      </c>
      <c r="J724" s="3" t="s">
        <v>960</v>
      </c>
    </row>
    <row r="725" spans="4:10" x14ac:dyDescent="0.25">
      <c r="D725" s="213" t="s">
        <v>69</v>
      </c>
      <c r="E725" s="213">
        <v>5000</v>
      </c>
      <c r="F725" s="213">
        <v>125</v>
      </c>
      <c r="G725" s="213">
        <v>50000</v>
      </c>
      <c r="H725" s="213">
        <v>84700</v>
      </c>
      <c r="I725" s="213">
        <v>150</v>
      </c>
      <c r="J725" s="3" t="s">
        <v>961</v>
      </c>
    </row>
    <row r="726" spans="4:10" x14ac:dyDescent="0.25">
      <c r="D726" s="213" t="s">
        <v>69</v>
      </c>
      <c r="E726" s="213">
        <v>5000</v>
      </c>
      <c r="F726" s="213">
        <v>137.5</v>
      </c>
      <c r="G726" s="213">
        <v>50000</v>
      </c>
      <c r="H726" s="213">
        <v>84800</v>
      </c>
      <c r="I726" s="213">
        <v>150</v>
      </c>
      <c r="J726" s="3" t="s">
        <v>962</v>
      </c>
    </row>
    <row r="727" spans="4:10" x14ac:dyDescent="0.25">
      <c r="D727" s="213" t="s">
        <v>69</v>
      </c>
      <c r="E727" s="213">
        <v>5000</v>
      </c>
      <c r="F727" s="213">
        <v>150</v>
      </c>
      <c r="G727" s="213">
        <v>50000</v>
      </c>
      <c r="H727" s="213">
        <v>84900</v>
      </c>
      <c r="I727" s="213">
        <v>150</v>
      </c>
      <c r="J727" s="3" t="s">
        <v>963</v>
      </c>
    </row>
    <row r="728" spans="4:10" x14ac:dyDescent="0.25">
      <c r="D728" s="213" t="s">
        <v>69</v>
      </c>
      <c r="E728" s="213">
        <v>5000</v>
      </c>
      <c r="F728" s="213">
        <v>160</v>
      </c>
      <c r="G728" s="213">
        <v>50000</v>
      </c>
      <c r="H728" s="213">
        <v>85000</v>
      </c>
      <c r="I728" s="213">
        <v>150</v>
      </c>
      <c r="J728" s="3" t="s">
        <v>964</v>
      </c>
    </row>
    <row r="729" spans="4:10" x14ac:dyDescent="0.25">
      <c r="D729" s="213" t="s">
        <v>69</v>
      </c>
      <c r="E729" s="213">
        <v>5000</v>
      </c>
      <c r="F729" s="213">
        <v>175</v>
      </c>
      <c r="G729" s="213">
        <v>50000</v>
      </c>
      <c r="H729" s="213">
        <v>85100</v>
      </c>
      <c r="I729" s="213">
        <v>150</v>
      </c>
      <c r="J729" s="3" t="s">
        <v>965</v>
      </c>
    </row>
    <row r="730" spans="4:10" x14ac:dyDescent="0.25">
      <c r="D730" s="213" t="s">
        <v>69</v>
      </c>
      <c r="E730" s="213">
        <v>5000</v>
      </c>
      <c r="F730" s="213">
        <v>200</v>
      </c>
      <c r="G730" s="213">
        <v>50000</v>
      </c>
      <c r="H730" s="213">
        <v>85200</v>
      </c>
      <c r="I730" s="213">
        <v>150</v>
      </c>
      <c r="J730" s="3" t="s">
        <v>966</v>
      </c>
    </row>
    <row r="731" spans="4:10" x14ac:dyDescent="0.25">
      <c r="D731" s="213" t="s">
        <v>69</v>
      </c>
      <c r="E731" s="213">
        <v>5000</v>
      </c>
      <c r="F731" s="213">
        <v>225</v>
      </c>
      <c r="G731" s="213">
        <v>50000</v>
      </c>
      <c r="H731" s="213">
        <v>85300</v>
      </c>
      <c r="I731" s="213">
        <v>150</v>
      </c>
      <c r="J731" s="3" t="s">
        <v>967</v>
      </c>
    </row>
    <row r="732" spans="4:10" x14ac:dyDescent="0.25">
      <c r="D732" s="213" t="s">
        <v>69</v>
      </c>
      <c r="E732" s="213">
        <v>5000</v>
      </c>
      <c r="F732" s="213">
        <v>250</v>
      </c>
      <c r="G732" s="213">
        <v>50000</v>
      </c>
      <c r="H732" s="213">
        <v>85400</v>
      </c>
      <c r="I732" s="213">
        <v>150</v>
      </c>
      <c r="J732" s="3" t="s">
        <v>968</v>
      </c>
    </row>
    <row r="733" spans="4:10" x14ac:dyDescent="0.25">
      <c r="D733" s="213" t="s">
        <v>69</v>
      </c>
      <c r="E733" s="213">
        <v>7500</v>
      </c>
      <c r="F733" s="213">
        <v>25</v>
      </c>
      <c r="G733" s="213">
        <v>75000</v>
      </c>
      <c r="H733" s="213">
        <v>99900</v>
      </c>
      <c r="I733" s="213">
        <v>150</v>
      </c>
      <c r="J733" s="3" t="s">
        <v>969</v>
      </c>
    </row>
    <row r="734" spans="4:10" x14ac:dyDescent="0.25">
      <c r="D734" s="213" t="s">
        <v>69</v>
      </c>
      <c r="E734" s="213">
        <v>7500</v>
      </c>
      <c r="F734" s="213">
        <v>37.5</v>
      </c>
      <c r="G734" s="213">
        <v>75000</v>
      </c>
      <c r="H734" s="213">
        <v>104100</v>
      </c>
      <c r="I734" s="213">
        <v>150</v>
      </c>
      <c r="J734" s="3" t="s">
        <v>970</v>
      </c>
    </row>
    <row r="735" spans="4:10" x14ac:dyDescent="0.25">
      <c r="D735" s="213" t="s">
        <v>69</v>
      </c>
      <c r="E735" s="213">
        <v>7500</v>
      </c>
      <c r="F735" s="213">
        <v>50</v>
      </c>
      <c r="G735" s="213">
        <v>75000</v>
      </c>
      <c r="H735" s="213">
        <v>106800</v>
      </c>
      <c r="I735" s="213">
        <v>150</v>
      </c>
      <c r="J735" s="3" t="s">
        <v>971</v>
      </c>
    </row>
    <row r="736" spans="4:10" x14ac:dyDescent="0.25">
      <c r="D736" s="213" t="s">
        <v>69</v>
      </c>
      <c r="E736" s="213">
        <v>7500</v>
      </c>
      <c r="F736" s="213">
        <v>62.5</v>
      </c>
      <c r="G736" s="213">
        <v>75000</v>
      </c>
      <c r="H736" s="213">
        <v>108700</v>
      </c>
      <c r="I736" s="213">
        <v>150</v>
      </c>
      <c r="J736" s="3" t="s">
        <v>972</v>
      </c>
    </row>
    <row r="737" spans="4:10" x14ac:dyDescent="0.25">
      <c r="D737" s="213" t="s">
        <v>69</v>
      </c>
      <c r="E737" s="213">
        <v>7500</v>
      </c>
      <c r="F737" s="213">
        <v>75</v>
      </c>
      <c r="G737" s="213">
        <v>75000</v>
      </c>
      <c r="H737" s="213">
        <v>110100</v>
      </c>
      <c r="I737" s="213">
        <v>150</v>
      </c>
      <c r="J737" s="3" t="s">
        <v>973</v>
      </c>
    </row>
    <row r="738" spans="4:10" x14ac:dyDescent="0.25">
      <c r="D738" s="213" t="s">
        <v>69</v>
      </c>
      <c r="E738" s="213">
        <v>7500</v>
      </c>
      <c r="F738" s="213">
        <v>80</v>
      </c>
      <c r="G738" s="213">
        <v>75000</v>
      </c>
      <c r="H738" s="213">
        <v>115600</v>
      </c>
      <c r="I738" s="213">
        <v>150</v>
      </c>
      <c r="J738" s="3" t="s">
        <v>974</v>
      </c>
    </row>
    <row r="739" spans="4:10" x14ac:dyDescent="0.25">
      <c r="D739" s="213" t="s">
        <v>69</v>
      </c>
      <c r="E739" s="213">
        <v>7500</v>
      </c>
      <c r="F739" s="213">
        <v>87.5</v>
      </c>
      <c r="G739" s="213">
        <v>75000</v>
      </c>
      <c r="H739" s="213">
        <v>111200</v>
      </c>
      <c r="I739" s="213">
        <v>150</v>
      </c>
      <c r="J739" s="3" t="s">
        <v>975</v>
      </c>
    </row>
    <row r="740" spans="4:10" x14ac:dyDescent="0.25">
      <c r="D740" s="213" t="s">
        <v>69</v>
      </c>
      <c r="E740" s="213">
        <v>7500</v>
      </c>
      <c r="F740" s="213">
        <v>100</v>
      </c>
      <c r="G740" s="213">
        <v>75000</v>
      </c>
      <c r="H740" s="213">
        <v>112000</v>
      </c>
      <c r="I740" s="213">
        <v>150</v>
      </c>
      <c r="J740" s="3" t="s">
        <v>976</v>
      </c>
    </row>
    <row r="741" spans="4:10" x14ac:dyDescent="0.25">
      <c r="D741" s="213" t="s">
        <v>69</v>
      </c>
      <c r="E741" s="213">
        <v>7500</v>
      </c>
      <c r="F741" s="213">
        <v>112.5</v>
      </c>
      <c r="G741" s="213">
        <v>75000</v>
      </c>
      <c r="H741" s="213">
        <v>112700</v>
      </c>
      <c r="I741" s="213">
        <v>150</v>
      </c>
      <c r="J741" s="3" t="s">
        <v>977</v>
      </c>
    </row>
    <row r="742" spans="4:10" x14ac:dyDescent="0.25">
      <c r="D742" s="213" t="s">
        <v>69</v>
      </c>
      <c r="E742" s="213">
        <v>7500</v>
      </c>
      <c r="F742" s="213">
        <v>125</v>
      </c>
      <c r="G742" s="213">
        <v>75000</v>
      </c>
      <c r="H742" s="213">
        <v>113300</v>
      </c>
      <c r="I742" s="213">
        <v>150</v>
      </c>
      <c r="J742" s="3" t="s">
        <v>978</v>
      </c>
    </row>
    <row r="743" spans="4:10" x14ac:dyDescent="0.25">
      <c r="D743" s="213" t="s">
        <v>69</v>
      </c>
      <c r="E743" s="213">
        <v>7500</v>
      </c>
      <c r="F743" s="213">
        <v>137.5</v>
      </c>
      <c r="G743" s="213">
        <v>75000</v>
      </c>
      <c r="H743" s="213">
        <v>113700</v>
      </c>
      <c r="I743" s="213">
        <v>150</v>
      </c>
      <c r="J743" s="3" t="s">
        <v>979</v>
      </c>
    </row>
    <row r="744" spans="4:10" x14ac:dyDescent="0.25">
      <c r="D744" s="213" t="s">
        <v>69</v>
      </c>
      <c r="E744" s="213">
        <v>7500</v>
      </c>
      <c r="F744" s="213">
        <v>150</v>
      </c>
      <c r="G744" s="213">
        <v>75000</v>
      </c>
      <c r="H744" s="213">
        <v>114100</v>
      </c>
      <c r="I744" s="213">
        <v>150</v>
      </c>
      <c r="J744" s="3" t="s">
        <v>980</v>
      </c>
    </row>
    <row r="745" spans="4:10" x14ac:dyDescent="0.25">
      <c r="D745" s="213" t="s">
        <v>69</v>
      </c>
      <c r="E745" s="213">
        <v>7500</v>
      </c>
      <c r="F745" s="213">
        <v>160</v>
      </c>
      <c r="G745" s="213">
        <v>75000</v>
      </c>
      <c r="H745" s="213">
        <v>114400</v>
      </c>
      <c r="I745" s="213">
        <v>150</v>
      </c>
      <c r="J745" s="3" t="s">
        <v>981</v>
      </c>
    </row>
    <row r="746" spans="4:10" x14ac:dyDescent="0.25">
      <c r="D746" s="213" t="s">
        <v>69</v>
      </c>
      <c r="E746" s="213">
        <v>7500</v>
      </c>
      <c r="F746" s="213">
        <v>175</v>
      </c>
      <c r="G746" s="213">
        <v>75000</v>
      </c>
      <c r="H746" s="213">
        <v>114800</v>
      </c>
      <c r="I746" s="213">
        <v>150</v>
      </c>
      <c r="J746" s="3" t="s">
        <v>982</v>
      </c>
    </row>
    <row r="747" spans="4:10" x14ac:dyDescent="0.25">
      <c r="D747" s="213" t="s">
        <v>69</v>
      </c>
      <c r="E747" s="213">
        <v>7500</v>
      </c>
      <c r="F747" s="213">
        <v>200</v>
      </c>
      <c r="G747" s="213">
        <v>75000</v>
      </c>
      <c r="H747" s="213">
        <v>115300</v>
      </c>
      <c r="I747" s="213">
        <v>150</v>
      </c>
      <c r="J747" s="3" t="s">
        <v>983</v>
      </c>
    </row>
    <row r="748" spans="4:10" x14ac:dyDescent="0.25">
      <c r="D748" s="213" t="s">
        <v>69</v>
      </c>
      <c r="E748" s="213">
        <v>7500</v>
      </c>
      <c r="F748" s="213">
        <v>225</v>
      </c>
      <c r="G748" s="213">
        <v>75000</v>
      </c>
      <c r="H748" s="213">
        <v>115700</v>
      </c>
      <c r="I748" s="213">
        <v>150</v>
      </c>
      <c r="J748" s="3" t="s">
        <v>984</v>
      </c>
    </row>
    <row r="749" spans="4:10" x14ac:dyDescent="0.25">
      <c r="D749" s="213" t="s">
        <v>69</v>
      </c>
      <c r="E749" s="213">
        <v>7500</v>
      </c>
      <c r="F749" s="213">
        <v>250</v>
      </c>
      <c r="G749" s="213">
        <v>75000</v>
      </c>
      <c r="H749" s="213">
        <v>116000</v>
      </c>
      <c r="I749" s="213">
        <v>150</v>
      </c>
      <c r="J749" s="3" t="s">
        <v>985</v>
      </c>
    </row>
    <row r="750" spans="4:10" x14ac:dyDescent="0.25">
      <c r="D750" s="213" t="s">
        <v>70</v>
      </c>
      <c r="E750" s="213">
        <v>750</v>
      </c>
      <c r="F750" s="213">
        <v>25</v>
      </c>
      <c r="G750" s="213">
        <v>7400</v>
      </c>
      <c r="H750" s="213">
        <v>12000</v>
      </c>
      <c r="I750" s="213">
        <v>150</v>
      </c>
      <c r="J750" s="3" t="s">
        <v>986</v>
      </c>
    </row>
    <row r="751" spans="4:10" x14ac:dyDescent="0.25">
      <c r="D751" s="213" t="s">
        <v>70</v>
      </c>
      <c r="E751" s="213">
        <v>750</v>
      </c>
      <c r="F751" s="213">
        <v>38.1</v>
      </c>
      <c r="G751" s="213">
        <v>7400</v>
      </c>
      <c r="H751" s="213">
        <v>12000</v>
      </c>
      <c r="I751" s="213">
        <v>150</v>
      </c>
      <c r="J751" s="3" t="s">
        <v>987</v>
      </c>
    </row>
    <row r="752" spans="4:10" x14ac:dyDescent="0.25">
      <c r="D752" s="213" t="s">
        <v>70</v>
      </c>
      <c r="E752" s="213">
        <v>750</v>
      </c>
      <c r="F752" s="213">
        <v>50</v>
      </c>
      <c r="G752" s="213">
        <v>7400</v>
      </c>
      <c r="H752" s="213">
        <v>12000</v>
      </c>
      <c r="I752" s="213">
        <v>150</v>
      </c>
      <c r="J752" s="3" t="s">
        <v>988</v>
      </c>
    </row>
    <row r="753" spans="4:10" x14ac:dyDescent="0.25">
      <c r="D753" s="213" t="s">
        <v>70</v>
      </c>
      <c r="E753" s="213">
        <v>750</v>
      </c>
      <c r="F753" s="213">
        <v>63.5</v>
      </c>
      <c r="G753" s="213">
        <v>7400</v>
      </c>
      <c r="H753" s="213">
        <v>12000</v>
      </c>
      <c r="I753" s="213">
        <v>150</v>
      </c>
      <c r="J753" s="3" t="s">
        <v>989</v>
      </c>
    </row>
    <row r="754" spans="4:10" x14ac:dyDescent="0.25">
      <c r="D754" s="213" t="s">
        <v>70</v>
      </c>
      <c r="E754" s="213">
        <v>750</v>
      </c>
      <c r="F754" s="213">
        <v>80</v>
      </c>
      <c r="G754" s="213">
        <v>7400</v>
      </c>
      <c r="H754" s="213">
        <v>12000</v>
      </c>
      <c r="I754" s="213">
        <v>150</v>
      </c>
      <c r="J754" s="3" t="s">
        <v>990</v>
      </c>
    </row>
    <row r="755" spans="4:10" x14ac:dyDescent="0.25">
      <c r="D755" s="213" t="s">
        <v>70</v>
      </c>
      <c r="E755" s="213">
        <v>750</v>
      </c>
      <c r="F755" s="213">
        <v>100</v>
      </c>
      <c r="G755" s="213">
        <v>7400</v>
      </c>
      <c r="H755" s="213">
        <v>12000</v>
      </c>
      <c r="I755" s="213">
        <v>150</v>
      </c>
      <c r="J755" s="3" t="s">
        <v>991</v>
      </c>
    </row>
    <row r="756" spans="4:10" x14ac:dyDescent="0.25">
      <c r="D756" s="213" t="s">
        <v>70</v>
      </c>
      <c r="E756" s="213">
        <v>750</v>
      </c>
      <c r="F756" s="213">
        <v>125</v>
      </c>
      <c r="G756" s="213">
        <v>7400</v>
      </c>
      <c r="H756" s="213">
        <v>12100</v>
      </c>
      <c r="I756" s="213">
        <v>150</v>
      </c>
      <c r="J756" s="3" t="s">
        <v>992</v>
      </c>
    </row>
    <row r="757" spans="4:10" x14ac:dyDescent="0.25">
      <c r="D757" s="213" t="s">
        <v>70</v>
      </c>
      <c r="E757" s="213">
        <v>750</v>
      </c>
      <c r="F757" s="213">
        <v>160</v>
      </c>
      <c r="G757" s="213">
        <v>7400</v>
      </c>
      <c r="H757" s="213">
        <v>12100</v>
      </c>
      <c r="I757" s="213">
        <v>150</v>
      </c>
      <c r="J757" s="3" t="s">
        <v>993</v>
      </c>
    </row>
    <row r="758" spans="4:10" x14ac:dyDescent="0.25">
      <c r="D758" s="213" t="s">
        <v>70</v>
      </c>
      <c r="E758" s="213">
        <v>750</v>
      </c>
      <c r="F758" s="213">
        <v>200</v>
      </c>
      <c r="G758" s="213">
        <v>7400</v>
      </c>
      <c r="H758" s="213">
        <v>12100</v>
      </c>
      <c r="I758" s="213">
        <v>150</v>
      </c>
      <c r="J758" s="3" t="s">
        <v>994</v>
      </c>
    </row>
    <row r="759" spans="4:10" x14ac:dyDescent="0.25">
      <c r="D759" s="213" t="s">
        <v>70</v>
      </c>
      <c r="E759" s="213">
        <v>750</v>
      </c>
      <c r="F759" s="213">
        <v>250</v>
      </c>
      <c r="G759" s="213">
        <v>7400</v>
      </c>
      <c r="H759" s="213">
        <v>12100</v>
      </c>
      <c r="I759" s="213">
        <v>150</v>
      </c>
      <c r="J759" s="3" t="s">
        <v>995</v>
      </c>
    </row>
    <row r="760" spans="4:10" x14ac:dyDescent="0.25">
      <c r="D760" s="213" t="s">
        <v>70</v>
      </c>
      <c r="E760" s="213">
        <v>750</v>
      </c>
      <c r="F760" s="213">
        <v>300</v>
      </c>
      <c r="G760" s="213">
        <v>7400</v>
      </c>
      <c r="H760" s="213">
        <v>12100</v>
      </c>
      <c r="I760" s="213">
        <v>150</v>
      </c>
      <c r="J760" s="3" t="s">
        <v>996</v>
      </c>
    </row>
    <row r="761" spans="4:10" x14ac:dyDescent="0.25">
      <c r="D761" s="213" t="s">
        <v>70</v>
      </c>
      <c r="E761" s="213">
        <v>1500</v>
      </c>
      <c r="F761" s="213">
        <v>25</v>
      </c>
      <c r="G761" s="213">
        <v>15000</v>
      </c>
      <c r="H761" s="213">
        <v>23000</v>
      </c>
      <c r="I761" s="213">
        <v>150</v>
      </c>
      <c r="J761" s="3" t="s">
        <v>997</v>
      </c>
    </row>
    <row r="762" spans="4:10" x14ac:dyDescent="0.25">
      <c r="D762" s="213" t="s">
        <v>70</v>
      </c>
      <c r="E762" s="213">
        <v>1500</v>
      </c>
      <c r="F762" s="213">
        <v>38.1</v>
      </c>
      <c r="G762" s="213">
        <v>15000</v>
      </c>
      <c r="H762" s="213">
        <v>23000</v>
      </c>
      <c r="I762" s="213">
        <v>150</v>
      </c>
      <c r="J762" s="3" t="s">
        <v>998</v>
      </c>
    </row>
    <row r="763" spans="4:10" x14ac:dyDescent="0.25">
      <c r="D763" s="213" t="s">
        <v>70</v>
      </c>
      <c r="E763" s="213">
        <v>1500</v>
      </c>
      <c r="F763" s="213">
        <v>50</v>
      </c>
      <c r="G763" s="213">
        <v>15000</v>
      </c>
      <c r="H763" s="213">
        <v>23000</v>
      </c>
      <c r="I763" s="213">
        <v>150</v>
      </c>
      <c r="J763" s="3" t="s">
        <v>999</v>
      </c>
    </row>
    <row r="764" spans="4:10" x14ac:dyDescent="0.25">
      <c r="D764" s="213" t="s">
        <v>70</v>
      </c>
      <c r="E764" s="213">
        <v>1500</v>
      </c>
      <c r="F764" s="213">
        <v>63.5</v>
      </c>
      <c r="G764" s="213">
        <v>15000</v>
      </c>
      <c r="H764" s="213">
        <v>23000</v>
      </c>
      <c r="I764" s="213">
        <v>150</v>
      </c>
      <c r="J764" s="3" t="s">
        <v>1000</v>
      </c>
    </row>
    <row r="765" spans="4:10" x14ac:dyDescent="0.25">
      <c r="D765" s="213" t="s">
        <v>70</v>
      </c>
      <c r="E765" s="213">
        <v>1500</v>
      </c>
      <c r="F765" s="213">
        <v>80</v>
      </c>
      <c r="G765" s="213">
        <v>15000</v>
      </c>
      <c r="H765" s="213">
        <v>23000</v>
      </c>
      <c r="I765" s="213">
        <v>150</v>
      </c>
      <c r="J765" s="3" t="s">
        <v>1001</v>
      </c>
    </row>
    <row r="766" spans="4:10" x14ac:dyDescent="0.25">
      <c r="D766" s="213" t="s">
        <v>70</v>
      </c>
      <c r="E766" s="213">
        <v>1500</v>
      </c>
      <c r="F766" s="213">
        <v>100</v>
      </c>
      <c r="G766" s="213">
        <v>15000</v>
      </c>
      <c r="H766" s="213">
        <v>23000</v>
      </c>
      <c r="I766" s="213">
        <v>150</v>
      </c>
      <c r="J766" s="3" t="s">
        <v>1002</v>
      </c>
    </row>
    <row r="767" spans="4:10" x14ac:dyDescent="0.25">
      <c r="D767" s="213" t="s">
        <v>70</v>
      </c>
      <c r="E767" s="213">
        <v>1500</v>
      </c>
      <c r="F767" s="213">
        <v>125</v>
      </c>
      <c r="G767" s="213">
        <v>15000</v>
      </c>
      <c r="H767" s="213">
        <v>23000</v>
      </c>
      <c r="I767" s="213">
        <v>150</v>
      </c>
      <c r="J767" s="3" t="s">
        <v>1003</v>
      </c>
    </row>
    <row r="768" spans="4:10" x14ac:dyDescent="0.25">
      <c r="D768" s="213" t="s">
        <v>70</v>
      </c>
      <c r="E768" s="213">
        <v>1500</v>
      </c>
      <c r="F768" s="213">
        <v>160</v>
      </c>
      <c r="G768" s="213">
        <v>15000</v>
      </c>
      <c r="H768" s="213">
        <v>23000</v>
      </c>
      <c r="I768" s="213">
        <v>150</v>
      </c>
      <c r="J768" s="3" t="s">
        <v>1004</v>
      </c>
    </row>
    <row r="769" spans="4:10" x14ac:dyDescent="0.25">
      <c r="D769" s="213" t="s">
        <v>70</v>
      </c>
      <c r="E769" s="213">
        <v>1500</v>
      </c>
      <c r="F769" s="213">
        <v>200</v>
      </c>
      <c r="G769" s="213">
        <v>15000</v>
      </c>
      <c r="H769" s="213">
        <v>23000</v>
      </c>
      <c r="I769" s="213">
        <v>150</v>
      </c>
      <c r="J769" s="3" t="s">
        <v>1005</v>
      </c>
    </row>
    <row r="770" spans="4:10" x14ac:dyDescent="0.25">
      <c r="D770" s="213" t="s">
        <v>70</v>
      </c>
      <c r="E770" s="213">
        <v>1500</v>
      </c>
      <c r="F770" s="213">
        <v>250</v>
      </c>
      <c r="G770" s="213">
        <v>15000</v>
      </c>
      <c r="H770" s="213">
        <v>23000</v>
      </c>
      <c r="I770" s="213">
        <v>150</v>
      </c>
      <c r="J770" s="3" t="s">
        <v>1006</v>
      </c>
    </row>
    <row r="771" spans="4:10" x14ac:dyDescent="0.25">
      <c r="D771" s="213" t="s">
        <v>70</v>
      </c>
      <c r="E771" s="213">
        <v>1500</v>
      </c>
      <c r="F771" s="213">
        <v>300</v>
      </c>
      <c r="G771" s="213">
        <v>15000</v>
      </c>
      <c r="H771" s="213">
        <v>23000</v>
      </c>
      <c r="I771" s="213">
        <v>150</v>
      </c>
      <c r="J771" s="3" t="s">
        <v>1007</v>
      </c>
    </row>
    <row r="772" spans="4:10" x14ac:dyDescent="0.25">
      <c r="D772" s="213" t="s">
        <v>70</v>
      </c>
      <c r="E772" s="213">
        <v>3000</v>
      </c>
      <c r="F772" s="213">
        <v>25</v>
      </c>
      <c r="G772" s="213">
        <v>30000</v>
      </c>
      <c r="H772" s="213">
        <v>42000</v>
      </c>
      <c r="I772" s="213">
        <v>150</v>
      </c>
      <c r="J772" s="3" t="s">
        <v>1008</v>
      </c>
    </row>
    <row r="773" spans="4:10" x14ac:dyDescent="0.25">
      <c r="D773" s="213" t="s">
        <v>70</v>
      </c>
      <c r="E773" s="213">
        <v>3000</v>
      </c>
      <c r="F773" s="213">
        <v>38.1</v>
      </c>
      <c r="G773" s="213">
        <v>30000</v>
      </c>
      <c r="H773" s="213">
        <v>43000</v>
      </c>
      <c r="I773" s="213">
        <v>150</v>
      </c>
      <c r="J773" s="3" t="s">
        <v>1009</v>
      </c>
    </row>
    <row r="774" spans="4:10" x14ac:dyDescent="0.25">
      <c r="D774" s="213" t="s">
        <v>70</v>
      </c>
      <c r="E774" s="213">
        <v>3000</v>
      </c>
      <c r="F774" s="213">
        <v>50</v>
      </c>
      <c r="G774" s="213">
        <v>30000</v>
      </c>
      <c r="H774" s="213">
        <v>44000</v>
      </c>
      <c r="I774" s="213">
        <v>150</v>
      </c>
      <c r="J774" s="3" t="s">
        <v>1010</v>
      </c>
    </row>
    <row r="775" spans="4:10" x14ac:dyDescent="0.25">
      <c r="D775" s="213" t="s">
        <v>70</v>
      </c>
      <c r="E775" s="213">
        <v>3000</v>
      </c>
      <c r="F775" s="213">
        <v>63.5</v>
      </c>
      <c r="G775" s="213">
        <v>30000</v>
      </c>
      <c r="H775" s="213">
        <v>45000</v>
      </c>
      <c r="I775" s="213">
        <v>150</v>
      </c>
      <c r="J775" s="3" t="s">
        <v>1011</v>
      </c>
    </row>
    <row r="776" spans="4:10" x14ac:dyDescent="0.25">
      <c r="D776" s="213" t="s">
        <v>70</v>
      </c>
      <c r="E776" s="213">
        <v>3000</v>
      </c>
      <c r="F776" s="213">
        <v>80</v>
      </c>
      <c r="G776" s="213">
        <v>30000</v>
      </c>
      <c r="H776" s="213">
        <v>46000</v>
      </c>
      <c r="I776" s="213">
        <v>150</v>
      </c>
      <c r="J776" s="3" t="s">
        <v>1012</v>
      </c>
    </row>
    <row r="777" spans="4:10" x14ac:dyDescent="0.25">
      <c r="D777" s="213" t="s">
        <v>70</v>
      </c>
      <c r="E777" s="213">
        <v>3000</v>
      </c>
      <c r="F777" s="213">
        <v>100</v>
      </c>
      <c r="G777" s="213">
        <v>30000</v>
      </c>
      <c r="H777" s="213">
        <v>47000</v>
      </c>
      <c r="I777" s="213">
        <v>150</v>
      </c>
      <c r="J777" s="3" t="s">
        <v>1013</v>
      </c>
    </row>
    <row r="778" spans="4:10" x14ac:dyDescent="0.25">
      <c r="D778" s="213" t="s">
        <v>70</v>
      </c>
      <c r="E778" s="213">
        <v>3000</v>
      </c>
      <c r="F778" s="213">
        <v>125</v>
      </c>
      <c r="G778" s="213">
        <v>30000</v>
      </c>
      <c r="H778" s="213">
        <v>47000</v>
      </c>
      <c r="I778" s="213">
        <v>150</v>
      </c>
      <c r="J778" s="3" t="s">
        <v>1014</v>
      </c>
    </row>
    <row r="779" spans="4:10" x14ac:dyDescent="0.25">
      <c r="D779" s="213" t="s">
        <v>70</v>
      </c>
      <c r="E779" s="213">
        <v>3000</v>
      </c>
      <c r="F779" s="213">
        <v>160</v>
      </c>
      <c r="G779" s="213">
        <v>30000</v>
      </c>
      <c r="H779" s="213">
        <v>47000</v>
      </c>
      <c r="I779" s="213">
        <v>150</v>
      </c>
      <c r="J779" s="3" t="s">
        <v>1015</v>
      </c>
    </row>
    <row r="780" spans="4:10" x14ac:dyDescent="0.25">
      <c r="D780" s="213" t="s">
        <v>70</v>
      </c>
      <c r="E780" s="213">
        <v>3000</v>
      </c>
      <c r="F780" s="213">
        <v>200</v>
      </c>
      <c r="G780" s="213">
        <v>30000</v>
      </c>
      <c r="H780" s="213">
        <v>48000</v>
      </c>
      <c r="I780" s="213">
        <v>150</v>
      </c>
      <c r="J780" s="3" t="s">
        <v>1016</v>
      </c>
    </row>
    <row r="781" spans="4:10" x14ac:dyDescent="0.25">
      <c r="D781" s="213" t="s">
        <v>70</v>
      </c>
      <c r="E781" s="213">
        <v>3000</v>
      </c>
      <c r="F781" s="213">
        <v>250</v>
      </c>
      <c r="G781" s="213">
        <v>30000</v>
      </c>
      <c r="H781" s="213">
        <v>48000</v>
      </c>
      <c r="I781" s="213">
        <v>150</v>
      </c>
      <c r="J781" s="3" t="s">
        <v>1017</v>
      </c>
    </row>
    <row r="782" spans="4:10" x14ac:dyDescent="0.25">
      <c r="D782" s="213" t="s">
        <v>70</v>
      </c>
      <c r="E782" s="213">
        <v>3000</v>
      </c>
      <c r="F782" s="213">
        <v>300</v>
      </c>
      <c r="G782" s="213">
        <v>30000</v>
      </c>
      <c r="H782" s="213">
        <v>48000</v>
      </c>
      <c r="I782" s="213">
        <v>150</v>
      </c>
      <c r="J782" s="3" t="s">
        <v>1018</v>
      </c>
    </row>
    <row r="783" spans="4:10" x14ac:dyDescent="0.25">
      <c r="D783" s="213" t="s">
        <v>70</v>
      </c>
      <c r="E783" s="213">
        <v>5000</v>
      </c>
      <c r="F783" s="213">
        <v>25</v>
      </c>
      <c r="G783" s="213">
        <v>50000</v>
      </c>
      <c r="H783" s="213">
        <v>71000</v>
      </c>
      <c r="I783" s="213">
        <v>150</v>
      </c>
      <c r="J783" s="3" t="s">
        <v>1019</v>
      </c>
    </row>
    <row r="784" spans="4:10" x14ac:dyDescent="0.25">
      <c r="D784" s="213" t="s">
        <v>70</v>
      </c>
      <c r="E784" s="213">
        <v>5000</v>
      </c>
      <c r="F784" s="213">
        <v>38.1</v>
      </c>
      <c r="G784" s="213">
        <v>50000</v>
      </c>
      <c r="H784" s="213">
        <v>75000</v>
      </c>
      <c r="I784" s="213">
        <v>150</v>
      </c>
      <c r="J784" s="3" t="s">
        <v>1020</v>
      </c>
    </row>
    <row r="785" spans="4:10" x14ac:dyDescent="0.25">
      <c r="D785" s="213" t="s">
        <v>70</v>
      </c>
      <c r="E785" s="213">
        <v>5000</v>
      </c>
      <c r="F785" s="213">
        <v>50</v>
      </c>
      <c r="G785" s="213">
        <v>50000</v>
      </c>
      <c r="H785" s="213">
        <v>77000</v>
      </c>
      <c r="I785" s="213">
        <v>150</v>
      </c>
      <c r="J785" s="3" t="s">
        <v>1021</v>
      </c>
    </row>
    <row r="786" spans="4:10" x14ac:dyDescent="0.25">
      <c r="D786" s="213" t="s">
        <v>70</v>
      </c>
      <c r="E786" s="213">
        <v>5000</v>
      </c>
      <c r="F786" s="213">
        <v>63.5</v>
      </c>
      <c r="G786" s="213">
        <v>50000</v>
      </c>
      <c r="H786" s="213">
        <v>80000</v>
      </c>
      <c r="I786" s="213">
        <v>150</v>
      </c>
      <c r="J786" s="3" t="s">
        <v>1022</v>
      </c>
    </row>
    <row r="787" spans="4:10" x14ac:dyDescent="0.25">
      <c r="D787" s="213" t="s">
        <v>70</v>
      </c>
      <c r="E787" s="213">
        <v>5000</v>
      </c>
      <c r="F787" s="213">
        <v>80</v>
      </c>
      <c r="G787" s="213">
        <v>50000</v>
      </c>
      <c r="H787" s="213">
        <v>81000</v>
      </c>
      <c r="I787" s="213">
        <v>150</v>
      </c>
      <c r="J787" s="3" t="s">
        <v>1023</v>
      </c>
    </row>
    <row r="788" spans="4:10" x14ac:dyDescent="0.25">
      <c r="D788" s="213" t="s">
        <v>70</v>
      </c>
      <c r="E788" s="213">
        <v>5000</v>
      </c>
      <c r="F788" s="213">
        <v>100</v>
      </c>
      <c r="G788" s="213">
        <v>50000</v>
      </c>
      <c r="H788" s="213">
        <v>82000</v>
      </c>
      <c r="I788" s="213">
        <v>150</v>
      </c>
      <c r="J788" s="3" t="s">
        <v>1024</v>
      </c>
    </row>
    <row r="789" spans="4:10" x14ac:dyDescent="0.25">
      <c r="D789" s="213" t="s">
        <v>70</v>
      </c>
      <c r="E789" s="213">
        <v>5000</v>
      </c>
      <c r="F789" s="213">
        <v>125</v>
      </c>
      <c r="G789" s="213">
        <v>50000</v>
      </c>
      <c r="H789" s="213">
        <v>82000</v>
      </c>
      <c r="I789" s="213">
        <v>150</v>
      </c>
      <c r="J789" s="3" t="s">
        <v>1025</v>
      </c>
    </row>
    <row r="790" spans="4:10" x14ac:dyDescent="0.25">
      <c r="D790" s="213" t="s">
        <v>70</v>
      </c>
      <c r="E790" s="213">
        <v>5000</v>
      </c>
      <c r="F790" s="213">
        <v>160</v>
      </c>
      <c r="G790" s="213">
        <v>50000</v>
      </c>
      <c r="H790" s="213">
        <v>83000</v>
      </c>
      <c r="I790" s="213">
        <v>150</v>
      </c>
      <c r="J790" s="3" t="s">
        <v>1026</v>
      </c>
    </row>
    <row r="791" spans="4:10" x14ac:dyDescent="0.25">
      <c r="D791" s="213" t="s">
        <v>70</v>
      </c>
      <c r="E791" s="213">
        <v>5000</v>
      </c>
      <c r="F791" s="213">
        <v>200</v>
      </c>
      <c r="G791" s="213">
        <v>50000</v>
      </c>
      <c r="H791" s="213">
        <v>84000</v>
      </c>
      <c r="I791" s="213">
        <v>150</v>
      </c>
      <c r="J791" s="3" t="s">
        <v>1027</v>
      </c>
    </row>
    <row r="792" spans="4:10" x14ac:dyDescent="0.25">
      <c r="D792" s="213" t="s">
        <v>70</v>
      </c>
      <c r="E792" s="213">
        <v>5000</v>
      </c>
      <c r="F792" s="213">
        <v>250</v>
      </c>
      <c r="G792" s="213">
        <v>50000</v>
      </c>
      <c r="H792" s="213">
        <v>84000</v>
      </c>
      <c r="I792" s="213">
        <v>150</v>
      </c>
      <c r="J792" s="3" t="s">
        <v>1028</v>
      </c>
    </row>
    <row r="793" spans="4:10" x14ac:dyDescent="0.25">
      <c r="D793" s="213" t="s">
        <v>70</v>
      </c>
      <c r="E793" s="213">
        <v>5000</v>
      </c>
      <c r="F793" s="213">
        <v>300</v>
      </c>
      <c r="G793" s="213">
        <v>50000</v>
      </c>
      <c r="H793" s="213">
        <v>84000</v>
      </c>
      <c r="I793" s="213">
        <v>150</v>
      </c>
      <c r="J793" s="3" t="s">
        <v>1029</v>
      </c>
    </row>
    <row r="794" spans="4:10" x14ac:dyDescent="0.25">
      <c r="D794" s="213" t="s">
        <v>70</v>
      </c>
      <c r="E794" s="213">
        <v>7500</v>
      </c>
      <c r="F794" s="213">
        <v>25</v>
      </c>
      <c r="G794" s="213">
        <v>75000</v>
      </c>
      <c r="H794" s="213">
        <v>105000</v>
      </c>
      <c r="I794" s="213">
        <v>150</v>
      </c>
      <c r="J794" s="3" t="s">
        <v>1030</v>
      </c>
    </row>
    <row r="795" spans="4:10" x14ac:dyDescent="0.25">
      <c r="D795" s="213" t="s">
        <v>70</v>
      </c>
      <c r="E795" s="213">
        <v>7500</v>
      </c>
      <c r="F795" s="213">
        <v>38.1</v>
      </c>
      <c r="G795" s="213">
        <v>75000</v>
      </c>
      <c r="H795" s="213">
        <v>110000</v>
      </c>
      <c r="I795" s="213">
        <v>150</v>
      </c>
      <c r="J795" s="3" t="s">
        <v>1031</v>
      </c>
    </row>
    <row r="796" spans="4:10" x14ac:dyDescent="0.25">
      <c r="D796" s="213" t="s">
        <v>70</v>
      </c>
      <c r="E796" s="213">
        <v>7500</v>
      </c>
      <c r="F796" s="213">
        <v>50</v>
      </c>
      <c r="G796" s="213">
        <v>75000</v>
      </c>
      <c r="H796" s="213">
        <v>113000</v>
      </c>
      <c r="I796" s="213">
        <v>150</v>
      </c>
      <c r="J796" s="3" t="s">
        <v>1032</v>
      </c>
    </row>
    <row r="797" spans="4:10" x14ac:dyDescent="0.25">
      <c r="D797" s="213" t="s">
        <v>70</v>
      </c>
      <c r="E797" s="213">
        <v>7500</v>
      </c>
      <c r="F797" s="213">
        <v>63.5</v>
      </c>
      <c r="G797" s="213">
        <v>75000</v>
      </c>
      <c r="H797" s="213">
        <v>115000</v>
      </c>
      <c r="I797" s="213">
        <v>150</v>
      </c>
      <c r="J797" s="3" t="s">
        <v>1033</v>
      </c>
    </row>
    <row r="798" spans="4:10" x14ac:dyDescent="0.25">
      <c r="D798" s="213" t="s">
        <v>70</v>
      </c>
      <c r="E798" s="213">
        <v>7500</v>
      </c>
      <c r="F798" s="213">
        <v>80</v>
      </c>
      <c r="G798" s="213">
        <v>75000</v>
      </c>
      <c r="H798" s="213">
        <v>117000</v>
      </c>
      <c r="I798" s="213">
        <v>150</v>
      </c>
      <c r="J798" s="3" t="s">
        <v>1034</v>
      </c>
    </row>
    <row r="799" spans="4:10" x14ac:dyDescent="0.25">
      <c r="D799" s="213" t="s">
        <v>70</v>
      </c>
      <c r="E799" s="213">
        <v>7500</v>
      </c>
      <c r="F799" s="213">
        <v>100</v>
      </c>
      <c r="G799" s="213">
        <v>75000</v>
      </c>
      <c r="H799" s="213">
        <v>119000</v>
      </c>
      <c r="I799" s="213">
        <v>150</v>
      </c>
      <c r="J799" s="3" t="s">
        <v>1035</v>
      </c>
    </row>
    <row r="800" spans="4:10" x14ac:dyDescent="0.25">
      <c r="D800" s="213" t="s">
        <v>70</v>
      </c>
      <c r="E800" s="213">
        <v>7500</v>
      </c>
      <c r="F800" s="213">
        <v>125</v>
      </c>
      <c r="G800" s="213">
        <v>75000</v>
      </c>
      <c r="H800" s="213">
        <v>121000</v>
      </c>
      <c r="I800" s="213">
        <v>150</v>
      </c>
      <c r="J800" s="3" t="s">
        <v>1036</v>
      </c>
    </row>
    <row r="801" spans="4:10" x14ac:dyDescent="0.25">
      <c r="D801" s="213" t="s">
        <v>70</v>
      </c>
      <c r="E801" s="213">
        <v>7500</v>
      </c>
      <c r="F801" s="213">
        <v>160</v>
      </c>
      <c r="G801" s="213">
        <v>75000</v>
      </c>
      <c r="H801" s="213">
        <v>122000</v>
      </c>
      <c r="I801" s="213">
        <v>150</v>
      </c>
      <c r="J801" s="3" t="s">
        <v>1037</v>
      </c>
    </row>
    <row r="802" spans="4:10" x14ac:dyDescent="0.25">
      <c r="D802" s="213" t="s">
        <v>70</v>
      </c>
      <c r="E802" s="213">
        <v>7500</v>
      </c>
      <c r="F802" s="213">
        <v>200</v>
      </c>
      <c r="G802" s="213">
        <v>75000</v>
      </c>
      <c r="H802" s="213">
        <v>123000</v>
      </c>
      <c r="I802" s="213">
        <v>150</v>
      </c>
      <c r="J802" s="3" t="s">
        <v>1038</v>
      </c>
    </row>
    <row r="803" spans="4:10" x14ac:dyDescent="0.25">
      <c r="D803" s="213" t="s">
        <v>70</v>
      </c>
      <c r="E803" s="213">
        <v>7500</v>
      </c>
      <c r="F803" s="213">
        <v>250</v>
      </c>
      <c r="G803" s="213">
        <v>75000</v>
      </c>
      <c r="H803" s="213">
        <v>124000</v>
      </c>
      <c r="I803" s="213">
        <v>150</v>
      </c>
      <c r="J803" s="3" t="s">
        <v>1039</v>
      </c>
    </row>
    <row r="804" spans="4:10" x14ac:dyDescent="0.25">
      <c r="D804" s="213" t="s">
        <v>70</v>
      </c>
      <c r="E804" s="213">
        <v>7500</v>
      </c>
      <c r="F804" s="213">
        <v>300</v>
      </c>
      <c r="G804" s="213">
        <v>75000</v>
      </c>
      <c r="H804" s="213">
        <v>124000</v>
      </c>
      <c r="I804" s="213">
        <v>150</v>
      </c>
      <c r="J804" s="3" t="s">
        <v>1040</v>
      </c>
    </row>
    <row r="805" spans="4:10" x14ac:dyDescent="0.25">
      <c r="D805" s="213" t="s">
        <v>72</v>
      </c>
      <c r="E805" s="213">
        <v>10000</v>
      </c>
      <c r="F805" s="213">
        <v>25</v>
      </c>
      <c r="G805" s="213">
        <v>106000</v>
      </c>
      <c r="H805" s="213">
        <v>138000</v>
      </c>
      <c r="I805" s="213">
        <v>150</v>
      </c>
      <c r="J805" s="3" t="s">
        <v>1041</v>
      </c>
    </row>
    <row r="806" spans="4:10" x14ac:dyDescent="0.25">
      <c r="D806" s="213" t="s">
        <v>72</v>
      </c>
      <c r="E806" s="213">
        <v>10000</v>
      </c>
      <c r="F806" s="213">
        <v>38.1</v>
      </c>
      <c r="G806" s="213">
        <v>106000</v>
      </c>
      <c r="H806" s="213">
        <v>143000</v>
      </c>
      <c r="I806" s="213">
        <v>150</v>
      </c>
      <c r="J806" s="3" t="s">
        <v>1042</v>
      </c>
    </row>
    <row r="807" spans="4:10" x14ac:dyDescent="0.25">
      <c r="D807" s="213" t="s">
        <v>72</v>
      </c>
      <c r="E807" s="213">
        <v>10000</v>
      </c>
      <c r="F807" s="213">
        <v>50</v>
      </c>
      <c r="G807" s="213">
        <v>106000</v>
      </c>
      <c r="H807" s="213">
        <v>147000</v>
      </c>
      <c r="I807" s="213">
        <v>150</v>
      </c>
      <c r="J807" s="3" t="s">
        <v>1043</v>
      </c>
    </row>
    <row r="808" spans="4:10" x14ac:dyDescent="0.25">
      <c r="D808" s="213" t="s">
        <v>72</v>
      </c>
      <c r="E808" s="213">
        <v>10000</v>
      </c>
      <c r="F808" s="213">
        <v>63.5</v>
      </c>
      <c r="G808" s="213">
        <v>106000</v>
      </c>
      <c r="H808" s="213">
        <v>150000</v>
      </c>
      <c r="I808" s="213">
        <v>150</v>
      </c>
      <c r="J808" s="3" t="s">
        <v>1044</v>
      </c>
    </row>
    <row r="809" spans="4:10" x14ac:dyDescent="0.25">
      <c r="D809" s="213" t="s">
        <v>72</v>
      </c>
      <c r="E809" s="213">
        <v>10000</v>
      </c>
      <c r="F809" s="213">
        <v>80</v>
      </c>
      <c r="G809" s="213">
        <v>106000</v>
      </c>
      <c r="H809" s="213">
        <v>152000</v>
      </c>
      <c r="I809" s="213">
        <v>150</v>
      </c>
      <c r="J809" s="3" t="s">
        <v>1045</v>
      </c>
    </row>
    <row r="810" spans="4:10" x14ac:dyDescent="0.25">
      <c r="D810" s="213" t="s">
        <v>72</v>
      </c>
      <c r="E810" s="213">
        <v>10000</v>
      </c>
      <c r="F810" s="213">
        <v>100</v>
      </c>
      <c r="G810" s="213">
        <v>106000</v>
      </c>
      <c r="H810" s="213">
        <v>156000</v>
      </c>
      <c r="I810" s="213">
        <v>150</v>
      </c>
      <c r="J810" s="3" t="s">
        <v>1046</v>
      </c>
    </row>
    <row r="811" spans="4:10" x14ac:dyDescent="0.25">
      <c r="D811" s="213" t="s">
        <v>72</v>
      </c>
      <c r="E811" s="213">
        <v>10000</v>
      </c>
      <c r="F811" s="213">
        <v>125</v>
      </c>
      <c r="G811" s="213">
        <v>106000</v>
      </c>
      <c r="H811" s="213">
        <v>157000</v>
      </c>
      <c r="I811" s="213">
        <v>150</v>
      </c>
      <c r="J811" s="3" t="s">
        <v>1047</v>
      </c>
    </row>
    <row r="812" spans="4:10" x14ac:dyDescent="0.25">
      <c r="D812" s="213" t="s">
        <v>72</v>
      </c>
      <c r="E812" s="213">
        <v>10000</v>
      </c>
      <c r="F812" s="213">
        <v>160</v>
      </c>
      <c r="G812" s="213">
        <v>106000</v>
      </c>
      <c r="H812" s="213">
        <v>158000</v>
      </c>
      <c r="I812" s="213">
        <v>150</v>
      </c>
      <c r="J812" s="3" t="s">
        <v>1048</v>
      </c>
    </row>
    <row r="813" spans="4:10" x14ac:dyDescent="0.25">
      <c r="D813" s="213" t="s">
        <v>72</v>
      </c>
      <c r="E813" s="213">
        <v>10000</v>
      </c>
      <c r="F813" s="213">
        <v>200</v>
      </c>
      <c r="G813" s="213">
        <v>106000</v>
      </c>
      <c r="H813" s="213">
        <v>160000</v>
      </c>
      <c r="I813" s="213">
        <v>150</v>
      </c>
      <c r="J813" s="3" t="s">
        <v>1049</v>
      </c>
    </row>
    <row r="814" spans="4:10" x14ac:dyDescent="0.25">
      <c r="D814" s="213" t="s">
        <v>72</v>
      </c>
      <c r="E814" s="213">
        <v>10000</v>
      </c>
      <c r="F814" s="213">
        <v>250</v>
      </c>
      <c r="G814" s="213">
        <v>106000</v>
      </c>
      <c r="H814" s="213">
        <v>160000</v>
      </c>
      <c r="I814" s="213">
        <v>150</v>
      </c>
      <c r="J814" s="3" t="s">
        <v>1050</v>
      </c>
    </row>
    <row r="815" spans="4:10" x14ac:dyDescent="0.25">
      <c r="D815" s="213" t="s">
        <v>72</v>
      </c>
      <c r="E815" s="213">
        <v>10000</v>
      </c>
      <c r="F815" s="213">
        <v>300</v>
      </c>
      <c r="G815" s="213">
        <v>106000</v>
      </c>
      <c r="H815" s="213">
        <v>160000</v>
      </c>
      <c r="I815" s="213">
        <v>150</v>
      </c>
      <c r="J815" s="3" t="s">
        <v>1051</v>
      </c>
    </row>
    <row r="816" spans="4:10" x14ac:dyDescent="0.25">
      <c r="D816" t="s">
        <v>1063</v>
      </c>
      <c r="E816">
        <v>750</v>
      </c>
      <c r="F816">
        <v>10</v>
      </c>
      <c r="G816" s="3">
        <v>7400</v>
      </c>
      <c r="H816" s="3">
        <v>12100</v>
      </c>
      <c r="I816">
        <v>150</v>
      </c>
      <c r="J816" t="s">
        <v>1064</v>
      </c>
    </row>
    <row r="817" spans="4:10" x14ac:dyDescent="0.25">
      <c r="D817" t="s">
        <v>1063</v>
      </c>
      <c r="E817">
        <v>750</v>
      </c>
      <c r="F817">
        <v>13</v>
      </c>
      <c r="G817" s="3">
        <v>7400</v>
      </c>
      <c r="H817" s="3">
        <v>12100</v>
      </c>
      <c r="I817">
        <v>150</v>
      </c>
      <c r="J817" t="s">
        <v>1065</v>
      </c>
    </row>
    <row r="818" spans="4:10" x14ac:dyDescent="0.25">
      <c r="D818" t="s">
        <v>1063</v>
      </c>
      <c r="E818">
        <v>750</v>
      </c>
      <c r="F818">
        <v>16</v>
      </c>
      <c r="G818" s="3">
        <v>7400</v>
      </c>
      <c r="H818" s="3">
        <v>12100</v>
      </c>
      <c r="I818">
        <v>150</v>
      </c>
      <c r="J818" t="s">
        <v>1066</v>
      </c>
    </row>
    <row r="819" spans="4:10" x14ac:dyDescent="0.25">
      <c r="D819" t="s">
        <v>1063</v>
      </c>
      <c r="E819">
        <v>750</v>
      </c>
      <c r="F819">
        <v>19</v>
      </c>
      <c r="G819" s="3">
        <v>7400</v>
      </c>
      <c r="H819" s="3">
        <v>11700</v>
      </c>
      <c r="I819">
        <v>150</v>
      </c>
      <c r="J819" t="s">
        <v>1067</v>
      </c>
    </row>
    <row r="820" spans="4:10" x14ac:dyDescent="0.25">
      <c r="D820" t="s">
        <v>1063</v>
      </c>
      <c r="E820">
        <v>750</v>
      </c>
      <c r="F820">
        <v>25</v>
      </c>
      <c r="G820" s="3">
        <v>7400</v>
      </c>
      <c r="H820" s="3">
        <v>11800</v>
      </c>
      <c r="I820">
        <v>150</v>
      </c>
      <c r="J820" t="s">
        <v>1068</v>
      </c>
    </row>
    <row r="821" spans="4:10" x14ac:dyDescent="0.25">
      <c r="D821" t="s">
        <v>1063</v>
      </c>
      <c r="E821">
        <v>750</v>
      </c>
      <c r="F821">
        <v>32</v>
      </c>
      <c r="G821" s="3">
        <v>7400</v>
      </c>
      <c r="H821" s="3">
        <v>11800</v>
      </c>
      <c r="I821">
        <v>150</v>
      </c>
      <c r="J821" t="s">
        <v>1069</v>
      </c>
    </row>
    <row r="822" spans="4:10" x14ac:dyDescent="0.25">
      <c r="D822" t="s">
        <v>1063</v>
      </c>
      <c r="E822">
        <v>750</v>
      </c>
      <c r="F822">
        <v>38</v>
      </c>
      <c r="G822" s="3">
        <v>7400</v>
      </c>
      <c r="H822" s="3">
        <v>11800</v>
      </c>
      <c r="I822">
        <v>150</v>
      </c>
      <c r="J822" t="s">
        <v>1070</v>
      </c>
    </row>
    <row r="823" spans="4:10" x14ac:dyDescent="0.25">
      <c r="D823" t="s">
        <v>1063</v>
      </c>
      <c r="E823">
        <v>750</v>
      </c>
      <c r="F823">
        <v>50</v>
      </c>
      <c r="G823" s="3">
        <v>7400</v>
      </c>
      <c r="H823" s="3">
        <v>11800</v>
      </c>
      <c r="I823">
        <v>150</v>
      </c>
      <c r="J823" t="s">
        <v>1071</v>
      </c>
    </row>
    <row r="824" spans="4:10" x14ac:dyDescent="0.25">
      <c r="D824" t="s">
        <v>1063</v>
      </c>
      <c r="E824">
        <v>750</v>
      </c>
      <c r="F824">
        <v>63</v>
      </c>
      <c r="G824" s="3">
        <v>7400</v>
      </c>
      <c r="H824" s="3">
        <v>11800</v>
      </c>
      <c r="I824">
        <v>150</v>
      </c>
      <c r="J824" t="s">
        <v>1072</v>
      </c>
    </row>
    <row r="825" spans="4:10" x14ac:dyDescent="0.25">
      <c r="D825" t="s">
        <v>1063</v>
      </c>
      <c r="E825">
        <v>750</v>
      </c>
      <c r="F825">
        <v>75</v>
      </c>
      <c r="G825" s="3">
        <v>7400</v>
      </c>
      <c r="H825" s="3">
        <v>11900</v>
      </c>
      <c r="I825">
        <v>150</v>
      </c>
      <c r="J825" t="s">
        <v>1073</v>
      </c>
    </row>
    <row r="826" spans="4:10" x14ac:dyDescent="0.25">
      <c r="D826" t="s">
        <v>1063</v>
      </c>
      <c r="E826">
        <v>750</v>
      </c>
      <c r="F826">
        <v>80</v>
      </c>
      <c r="G826" s="3">
        <v>7400</v>
      </c>
      <c r="H826" s="3">
        <v>11900</v>
      </c>
      <c r="I826">
        <v>150</v>
      </c>
      <c r="J826" t="s">
        <v>1074</v>
      </c>
    </row>
    <row r="827" spans="4:10" x14ac:dyDescent="0.25">
      <c r="D827" t="s">
        <v>1063</v>
      </c>
      <c r="E827">
        <v>750</v>
      </c>
      <c r="F827">
        <v>100</v>
      </c>
      <c r="G827" s="3">
        <v>7400</v>
      </c>
      <c r="H827" s="3">
        <v>11900</v>
      </c>
      <c r="I827">
        <v>150</v>
      </c>
      <c r="J827" t="s">
        <v>1075</v>
      </c>
    </row>
    <row r="828" spans="4:10" x14ac:dyDescent="0.25">
      <c r="D828" t="s">
        <v>1063</v>
      </c>
      <c r="E828">
        <v>750</v>
      </c>
      <c r="F828">
        <v>125</v>
      </c>
      <c r="G828" s="3">
        <v>7400</v>
      </c>
      <c r="H828" s="3">
        <v>11900</v>
      </c>
      <c r="I828">
        <v>150</v>
      </c>
      <c r="J828" t="s">
        <v>1076</v>
      </c>
    </row>
    <row r="829" spans="4:10" x14ac:dyDescent="0.25">
      <c r="D829" t="s">
        <v>1063</v>
      </c>
      <c r="E829">
        <v>1000</v>
      </c>
      <c r="F829">
        <v>13</v>
      </c>
      <c r="G829" s="3">
        <v>9200</v>
      </c>
      <c r="H829" s="3">
        <v>13800</v>
      </c>
      <c r="I829">
        <v>150</v>
      </c>
      <c r="J829" t="s">
        <v>1077</v>
      </c>
    </row>
    <row r="830" spans="4:10" x14ac:dyDescent="0.25">
      <c r="D830" t="s">
        <v>1063</v>
      </c>
      <c r="E830">
        <v>1000</v>
      </c>
      <c r="F830">
        <v>16</v>
      </c>
      <c r="G830" s="3">
        <v>9200</v>
      </c>
      <c r="H830" s="3">
        <v>13800</v>
      </c>
      <c r="I830">
        <v>150</v>
      </c>
      <c r="J830" t="s">
        <v>1078</v>
      </c>
    </row>
    <row r="831" spans="4:10" x14ac:dyDescent="0.25">
      <c r="D831" t="s">
        <v>1063</v>
      </c>
      <c r="E831">
        <v>1000</v>
      </c>
      <c r="F831">
        <v>19</v>
      </c>
      <c r="G831" s="3">
        <v>9200</v>
      </c>
      <c r="H831" s="3">
        <v>14000</v>
      </c>
      <c r="I831">
        <v>150</v>
      </c>
      <c r="J831" t="s">
        <v>1079</v>
      </c>
    </row>
    <row r="832" spans="4:10" x14ac:dyDescent="0.25">
      <c r="D832" t="s">
        <v>1063</v>
      </c>
      <c r="E832">
        <v>1000</v>
      </c>
      <c r="F832">
        <v>25</v>
      </c>
      <c r="G832" s="3">
        <v>9200</v>
      </c>
      <c r="H832" s="3">
        <v>14200</v>
      </c>
      <c r="I832">
        <v>150</v>
      </c>
      <c r="J832" t="s">
        <v>1080</v>
      </c>
    </row>
    <row r="833" spans="4:10" x14ac:dyDescent="0.25">
      <c r="D833" t="s">
        <v>1063</v>
      </c>
      <c r="E833">
        <v>1000</v>
      </c>
      <c r="F833">
        <v>32</v>
      </c>
      <c r="G833" s="3">
        <v>9200</v>
      </c>
      <c r="H833" s="3">
        <v>14300</v>
      </c>
      <c r="I833">
        <v>150</v>
      </c>
      <c r="J833" t="s">
        <v>1081</v>
      </c>
    </row>
    <row r="834" spans="4:10" x14ac:dyDescent="0.25">
      <c r="D834" t="s">
        <v>1063</v>
      </c>
      <c r="E834">
        <v>1000</v>
      </c>
      <c r="F834">
        <v>38</v>
      </c>
      <c r="G834" s="3">
        <v>9200</v>
      </c>
      <c r="H834" s="3">
        <v>14500</v>
      </c>
      <c r="I834">
        <v>150</v>
      </c>
      <c r="J834" t="s">
        <v>1082</v>
      </c>
    </row>
    <row r="835" spans="4:10" x14ac:dyDescent="0.25">
      <c r="D835" t="s">
        <v>1063</v>
      </c>
      <c r="E835">
        <v>1000</v>
      </c>
      <c r="F835">
        <v>50</v>
      </c>
      <c r="G835" s="3">
        <v>9200</v>
      </c>
      <c r="H835" s="3">
        <v>14600</v>
      </c>
      <c r="I835">
        <v>150</v>
      </c>
      <c r="J835" t="s">
        <v>1083</v>
      </c>
    </row>
    <row r="836" spans="4:10" x14ac:dyDescent="0.25">
      <c r="D836" t="s">
        <v>1063</v>
      </c>
      <c r="E836">
        <v>1000</v>
      </c>
      <c r="F836">
        <v>63</v>
      </c>
      <c r="G836" s="3">
        <v>9200</v>
      </c>
      <c r="H836" s="3">
        <v>14700</v>
      </c>
      <c r="I836">
        <v>150</v>
      </c>
      <c r="J836" t="s">
        <v>1084</v>
      </c>
    </row>
    <row r="837" spans="4:10" x14ac:dyDescent="0.25">
      <c r="D837" t="s">
        <v>1063</v>
      </c>
      <c r="E837">
        <v>1000</v>
      </c>
      <c r="F837">
        <v>75</v>
      </c>
      <c r="G837" s="3">
        <v>9200</v>
      </c>
      <c r="H837" s="3">
        <v>14700</v>
      </c>
      <c r="I837">
        <v>150</v>
      </c>
      <c r="J837" t="s">
        <v>1085</v>
      </c>
    </row>
    <row r="838" spans="4:10" x14ac:dyDescent="0.25">
      <c r="D838" t="s">
        <v>1063</v>
      </c>
      <c r="E838">
        <v>1000</v>
      </c>
      <c r="F838">
        <v>80</v>
      </c>
      <c r="G838" s="3">
        <v>9200</v>
      </c>
      <c r="H838" s="3">
        <v>14800</v>
      </c>
      <c r="I838">
        <v>150</v>
      </c>
      <c r="J838" t="s">
        <v>1086</v>
      </c>
    </row>
    <row r="839" spans="4:10" x14ac:dyDescent="0.25">
      <c r="D839" t="s">
        <v>1063</v>
      </c>
      <c r="E839">
        <v>1000</v>
      </c>
      <c r="F839">
        <v>100</v>
      </c>
      <c r="G839" s="3">
        <v>9200</v>
      </c>
      <c r="H839" s="3">
        <v>14800</v>
      </c>
      <c r="I839">
        <v>150</v>
      </c>
      <c r="J839" t="s">
        <v>1087</v>
      </c>
    </row>
    <row r="840" spans="4:10" x14ac:dyDescent="0.25">
      <c r="D840" t="s">
        <v>1063</v>
      </c>
      <c r="E840">
        <v>1000</v>
      </c>
      <c r="F840">
        <v>125</v>
      </c>
      <c r="G840" s="3">
        <v>9200</v>
      </c>
      <c r="H840" s="3">
        <v>14800</v>
      </c>
      <c r="I840">
        <v>150</v>
      </c>
      <c r="J840" t="s">
        <v>1088</v>
      </c>
    </row>
    <row r="841" spans="4:10" x14ac:dyDescent="0.25">
      <c r="D841" t="s">
        <v>1063</v>
      </c>
      <c r="E841">
        <v>1500</v>
      </c>
      <c r="F841">
        <v>13</v>
      </c>
      <c r="G841" s="3">
        <v>15000</v>
      </c>
      <c r="H841" s="3">
        <v>24000</v>
      </c>
      <c r="I841">
        <v>150</v>
      </c>
      <c r="J841" t="s">
        <v>1089</v>
      </c>
    </row>
    <row r="842" spans="4:10" x14ac:dyDescent="0.25">
      <c r="D842" t="s">
        <v>1063</v>
      </c>
      <c r="E842">
        <v>1500</v>
      </c>
      <c r="F842">
        <v>16</v>
      </c>
      <c r="G842" s="3">
        <v>15000</v>
      </c>
      <c r="H842" s="3">
        <v>24100</v>
      </c>
      <c r="I842">
        <v>150</v>
      </c>
      <c r="J842" t="s">
        <v>1090</v>
      </c>
    </row>
    <row r="843" spans="4:10" x14ac:dyDescent="0.25">
      <c r="D843" t="s">
        <v>1063</v>
      </c>
      <c r="E843">
        <v>1500</v>
      </c>
      <c r="F843">
        <v>19</v>
      </c>
      <c r="G843" s="3">
        <v>15000</v>
      </c>
      <c r="H843" s="3">
        <v>24200</v>
      </c>
      <c r="I843">
        <v>150</v>
      </c>
      <c r="J843" t="s">
        <v>1091</v>
      </c>
    </row>
    <row r="844" spans="4:10" x14ac:dyDescent="0.25">
      <c r="D844" t="s">
        <v>1063</v>
      </c>
      <c r="E844">
        <v>1500</v>
      </c>
      <c r="F844">
        <v>25</v>
      </c>
      <c r="G844" s="3">
        <v>15000</v>
      </c>
      <c r="H844" s="3">
        <v>24300</v>
      </c>
      <c r="I844">
        <v>150</v>
      </c>
      <c r="J844" t="s">
        <v>1092</v>
      </c>
    </row>
    <row r="845" spans="4:10" x14ac:dyDescent="0.25">
      <c r="D845" t="s">
        <v>1063</v>
      </c>
      <c r="E845">
        <v>1500</v>
      </c>
      <c r="F845">
        <v>32</v>
      </c>
      <c r="G845" s="3">
        <v>15000</v>
      </c>
      <c r="H845" s="3">
        <v>23800</v>
      </c>
      <c r="I845">
        <v>150</v>
      </c>
      <c r="J845" t="s">
        <v>1093</v>
      </c>
    </row>
    <row r="846" spans="4:10" x14ac:dyDescent="0.25">
      <c r="D846" t="s">
        <v>1063</v>
      </c>
      <c r="E846">
        <v>1500</v>
      </c>
      <c r="F846">
        <v>38</v>
      </c>
      <c r="G846" s="3">
        <v>15000</v>
      </c>
      <c r="H846" s="3">
        <v>23900</v>
      </c>
      <c r="I846">
        <v>150</v>
      </c>
      <c r="J846" t="s">
        <v>1094</v>
      </c>
    </row>
    <row r="847" spans="4:10" x14ac:dyDescent="0.25">
      <c r="D847" t="s">
        <v>1063</v>
      </c>
      <c r="E847">
        <v>1500</v>
      </c>
      <c r="F847">
        <v>50</v>
      </c>
      <c r="G847" s="3">
        <v>15000</v>
      </c>
      <c r="H847" s="3">
        <v>24000</v>
      </c>
      <c r="I847">
        <v>150</v>
      </c>
      <c r="J847" t="s">
        <v>1095</v>
      </c>
    </row>
    <row r="848" spans="4:10" x14ac:dyDescent="0.25">
      <c r="D848" t="s">
        <v>1063</v>
      </c>
      <c r="E848">
        <v>1500</v>
      </c>
      <c r="F848">
        <v>63</v>
      </c>
      <c r="G848" s="3">
        <v>15000</v>
      </c>
      <c r="H848" s="3">
        <v>24100</v>
      </c>
      <c r="I848">
        <v>150</v>
      </c>
      <c r="J848" t="s">
        <v>1096</v>
      </c>
    </row>
    <row r="849" spans="4:10" x14ac:dyDescent="0.25">
      <c r="D849" t="s">
        <v>1063</v>
      </c>
      <c r="E849">
        <v>1500</v>
      </c>
      <c r="F849">
        <v>75</v>
      </c>
      <c r="G849" s="3">
        <v>15000</v>
      </c>
      <c r="H849" s="3">
        <v>24200</v>
      </c>
      <c r="I849">
        <v>150</v>
      </c>
      <c r="J849" t="s">
        <v>1097</v>
      </c>
    </row>
    <row r="850" spans="4:10" x14ac:dyDescent="0.25">
      <c r="D850" t="s">
        <v>1063</v>
      </c>
      <c r="E850">
        <v>1500</v>
      </c>
      <c r="F850">
        <v>80</v>
      </c>
      <c r="G850" s="3">
        <v>15000</v>
      </c>
      <c r="H850" s="3">
        <v>24200</v>
      </c>
      <c r="I850">
        <v>150</v>
      </c>
      <c r="J850" t="s">
        <v>1098</v>
      </c>
    </row>
    <row r="851" spans="4:10" x14ac:dyDescent="0.25">
      <c r="D851" t="s">
        <v>1063</v>
      </c>
      <c r="E851">
        <v>1500</v>
      </c>
      <c r="F851">
        <v>100</v>
      </c>
      <c r="G851" s="3">
        <v>15000</v>
      </c>
      <c r="H851" s="3">
        <v>24300</v>
      </c>
      <c r="I851">
        <v>150</v>
      </c>
      <c r="J851" t="s">
        <v>1099</v>
      </c>
    </row>
    <row r="852" spans="4:10" x14ac:dyDescent="0.25">
      <c r="D852" t="s">
        <v>1063</v>
      </c>
      <c r="E852">
        <v>1500</v>
      </c>
      <c r="F852">
        <v>125</v>
      </c>
      <c r="G852" s="3">
        <v>15000</v>
      </c>
      <c r="H852" s="3">
        <v>24300</v>
      </c>
      <c r="I852">
        <v>150</v>
      </c>
      <c r="J852" t="s">
        <v>1100</v>
      </c>
    </row>
    <row r="853" spans="4:10" x14ac:dyDescent="0.25">
      <c r="D853" t="s">
        <v>1063</v>
      </c>
      <c r="E853">
        <v>2400</v>
      </c>
      <c r="F853">
        <v>16</v>
      </c>
      <c r="G853" s="3">
        <v>24000</v>
      </c>
      <c r="H853" s="3">
        <v>38300</v>
      </c>
      <c r="I853">
        <v>150</v>
      </c>
      <c r="J853" t="s">
        <v>1101</v>
      </c>
    </row>
    <row r="854" spans="4:10" x14ac:dyDescent="0.25">
      <c r="D854" t="s">
        <v>1063</v>
      </c>
      <c r="E854">
        <v>2400</v>
      </c>
      <c r="F854">
        <v>19</v>
      </c>
      <c r="G854" s="3">
        <v>24000</v>
      </c>
      <c r="H854" s="3">
        <v>38500</v>
      </c>
      <c r="I854">
        <v>150</v>
      </c>
      <c r="J854" t="s">
        <v>1102</v>
      </c>
    </row>
    <row r="855" spans="4:10" x14ac:dyDescent="0.25">
      <c r="D855" t="s">
        <v>1063</v>
      </c>
      <c r="E855">
        <v>2400</v>
      </c>
      <c r="F855">
        <v>25</v>
      </c>
      <c r="G855" s="3">
        <v>24000</v>
      </c>
      <c r="H855" s="3">
        <v>38700</v>
      </c>
      <c r="I855">
        <v>150</v>
      </c>
      <c r="J855" t="s">
        <v>1103</v>
      </c>
    </row>
    <row r="856" spans="4:10" x14ac:dyDescent="0.25">
      <c r="D856" t="s">
        <v>1063</v>
      </c>
      <c r="E856">
        <v>2400</v>
      </c>
      <c r="F856">
        <v>32</v>
      </c>
      <c r="G856" s="3">
        <v>24000</v>
      </c>
      <c r="H856" s="3">
        <v>38600</v>
      </c>
      <c r="I856">
        <v>150</v>
      </c>
      <c r="J856" t="s">
        <v>1104</v>
      </c>
    </row>
    <row r="857" spans="4:10" x14ac:dyDescent="0.25">
      <c r="D857" t="s">
        <v>1063</v>
      </c>
      <c r="E857">
        <v>2400</v>
      </c>
      <c r="F857">
        <v>38</v>
      </c>
      <c r="G857" s="3">
        <v>24000</v>
      </c>
      <c r="H857" s="3">
        <v>38400</v>
      </c>
      <c r="I857">
        <v>150</v>
      </c>
      <c r="J857" t="s">
        <v>1105</v>
      </c>
    </row>
    <row r="858" spans="4:10" x14ac:dyDescent="0.25">
      <c r="D858" t="s">
        <v>1063</v>
      </c>
      <c r="E858">
        <v>2400</v>
      </c>
      <c r="F858">
        <v>50</v>
      </c>
      <c r="G858" s="3">
        <v>24000</v>
      </c>
      <c r="H858" s="3">
        <v>39200</v>
      </c>
      <c r="I858">
        <v>150</v>
      </c>
      <c r="J858" t="s">
        <v>1106</v>
      </c>
    </row>
    <row r="859" spans="4:10" x14ac:dyDescent="0.25">
      <c r="D859" t="s">
        <v>1063</v>
      </c>
      <c r="E859">
        <v>2400</v>
      </c>
      <c r="F859">
        <v>63</v>
      </c>
      <c r="G859" s="3">
        <v>24000</v>
      </c>
      <c r="H859" s="3">
        <v>39200</v>
      </c>
      <c r="I859">
        <v>150</v>
      </c>
      <c r="J859" t="s">
        <v>1107</v>
      </c>
    </row>
    <row r="860" spans="4:10" x14ac:dyDescent="0.25">
      <c r="D860" t="s">
        <v>1063</v>
      </c>
      <c r="E860">
        <v>2400</v>
      </c>
      <c r="F860">
        <v>75</v>
      </c>
      <c r="G860" s="3">
        <v>24000</v>
      </c>
      <c r="H860" s="3">
        <v>39200</v>
      </c>
      <c r="I860">
        <v>150</v>
      </c>
      <c r="J860" t="s">
        <v>1108</v>
      </c>
    </row>
    <row r="861" spans="4:10" x14ac:dyDescent="0.25">
      <c r="D861" t="s">
        <v>1063</v>
      </c>
      <c r="E861">
        <v>2400</v>
      </c>
      <c r="F861">
        <v>80</v>
      </c>
      <c r="G861" s="3">
        <v>24000</v>
      </c>
      <c r="H861" s="3">
        <v>39200</v>
      </c>
      <c r="I861">
        <v>150</v>
      </c>
      <c r="J861" t="s">
        <v>1109</v>
      </c>
    </row>
    <row r="862" spans="4:10" x14ac:dyDescent="0.25">
      <c r="D862" t="s">
        <v>1063</v>
      </c>
      <c r="E862">
        <v>2400</v>
      </c>
      <c r="F862">
        <v>100</v>
      </c>
      <c r="G862" s="3">
        <v>24000</v>
      </c>
      <c r="H862" s="3">
        <v>39300</v>
      </c>
      <c r="I862">
        <v>150</v>
      </c>
      <c r="J862" t="s">
        <v>1110</v>
      </c>
    </row>
    <row r="863" spans="4:10" x14ac:dyDescent="0.25">
      <c r="D863" t="s">
        <v>1063</v>
      </c>
      <c r="E863">
        <v>2400</v>
      </c>
      <c r="F863">
        <v>125</v>
      </c>
      <c r="G863" s="3">
        <v>24000</v>
      </c>
      <c r="H863" s="3">
        <v>39300</v>
      </c>
      <c r="I863">
        <v>150</v>
      </c>
      <c r="J863" t="s">
        <v>1111</v>
      </c>
    </row>
    <row r="864" spans="4:10" x14ac:dyDescent="0.25">
      <c r="G864" s="3"/>
      <c r="H864" s="3"/>
      <c r="I864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V123"/>
  <sheetViews>
    <sheetView workbookViewId="0"/>
  </sheetViews>
  <sheetFormatPr defaultRowHeight="15" x14ac:dyDescent="0.25"/>
  <cols>
    <col min="3" max="3" width="19.140625" customWidth="1"/>
    <col min="4" max="4" width="13.140625" customWidth="1"/>
    <col min="9" max="9" width="11.140625" customWidth="1"/>
    <col min="10" max="10" width="14.28515625" customWidth="1"/>
    <col min="13" max="13" width="13.5703125" customWidth="1"/>
  </cols>
  <sheetData>
    <row r="1" spans="1:22" x14ac:dyDescent="0.25">
      <c r="A1" t="s">
        <v>365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s="3" t="s">
        <v>171</v>
      </c>
      <c r="J1" s="3" t="s">
        <v>280</v>
      </c>
    </row>
    <row r="2" spans="1:22" x14ac:dyDescent="0.25">
      <c r="D2" s="136" t="s">
        <v>11</v>
      </c>
      <c r="E2" s="136">
        <v>2</v>
      </c>
      <c r="F2" s="136">
        <v>16</v>
      </c>
      <c r="G2" s="136">
        <v>2650</v>
      </c>
      <c r="H2" s="136">
        <v>3500</v>
      </c>
      <c r="I2" s="136">
        <v>150</v>
      </c>
      <c r="J2" t="s">
        <v>283</v>
      </c>
      <c r="L2" s="3"/>
      <c r="M2" s="3"/>
      <c r="N2" s="3"/>
      <c r="O2" s="3"/>
      <c r="P2" s="3"/>
      <c r="Q2" s="3"/>
      <c r="R2" s="3"/>
      <c r="S2" s="3"/>
    </row>
    <row r="3" spans="1:22" x14ac:dyDescent="0.25">
      <c r="D3" s="136" t="s">
        <v>11</v>
      </c>
      <c r="E3" s="136">
        <v>2</v>
      </c>
      <c r="F3" s="136">
        <v>25</v>
      </c>
      <c r="G3" s="136">
        <v>2650</v>
      </c>
      <c r="H3" s="136">
        <v>3500</v>
      </c>
      <c r="I3" s="136">
        <v>150</v>
      </c>
      <c r="J3" t="s">
        <v>284</v>
      </c>
      <c r="L3" s="3"/>
      <c r="M3" s="3"/>
      <c r="N3" s="3"/>
      <c r="O3" s="3"/>
      <c r="P3" s="3"/>
      <c r="Q3" s="3"/>
      <c r="R3" s="3"/>
      <c r="S3" s="3"/>
    </row>
    <row r="4" spans="1:22" x14ac:dyDescent="0.25">
      <c r="D4" s="136" t="s">
        <v>11</v>
      </c>
      <c r="E4" s="136">
        <v>2</v>
      </c>
      <c r="F4" s="136">
        <v>38.1</v>
      </c>
      <c r="G4" s="136">
        <v>2650</v>
      </c>
      <c r="H4" s="136">
        <v>3500</v>
      </c>
      <c r="I4" s="136">
        <v>150</v>
      </c>
      <c r="J4" t="s">
        <v>285</v>
      </c>
      <c r="L4" s="3"/>
      <c r="M4" s="3"/>
      <c r="N4" s="3"/>
      <c r="O4" s="3"/>
      <c r="P4" s="3"/>
      <c r="Q4" s="3"/>
      <c r="R4" s="3"/>
      <c r="S4" s="3"/>
    </row>
    <row r="5" spans="1:22" x14ac:dyDescent="0.25">
      <c r="D5" s="136" t="s">
        <v>11</v>
      </c>
      <c r="E5" s="136">
        <v>2</v>
      </c>
      <c r="F5" s="136">
        <v>50</v>
      </c>
      <c r="G5" s="136">
        <v>2650</v>
      </c>
      <c r="H5" s="136">
        <v>3500</v>
      </c>
      <c r="I5" s="136">
        <v>150</v>
      </c>
      <c r="J5" t="s">
        <v>286</v>
      </c>
      <c r="L5" s="3"/>
      <c r="M5" s="3"/>
      <c r="N5" s="3"/>
      <c r="O5" s="3"/>
      <c r="P5" s="3"/>
      <c r="Q5" s="3"/>
      <c r="R5" s="3"/>
      <c r="S5" s="3"/>
    </row>
    <row r="6" spans="1:22" x14ac:dyDescent="0.25">
      <c r="D6" s="136" t="s">
        <v>11</v>
      </c>
      <c r="E6" s="136">
        <v>2</v>
      </c>
      <c r="F6" s="136">
        <v>63.5</v>
      </c>
      <c r="G6" s="136">
        <v>2650</v>
      </c>
      <c r="H6" s="136">
        <v>3500</v>
      </c>
      <c r="I6" s="136">
        <v>150</v>
      </c>
      <c r="J6" t="s">
        <v>287</v>
      </c>
      <c r="L6" s="3"/>
      <c r="M6" s="3"/>
      <c r="N6" s="3"/>
      <c r="O6" s="3"/>
      <c r="P6" s="3"/>
      <c r="Q6" s="3"/>
      <c r="R6" s="3"/>
      <c r="S6" s="3"/>
    </row>
    <row r="7" spans="1:22" x14ac:dyDescent="0.25">
      <c r="D7" s="136" t="s">
        <v>11</v>
      </c>
      <c r="E7" s="136">
        <v>2</v>
      </c>
      <c r="F7" s="136">
        <v>80</v>
      </c>
      <c r="G7" s="136">
        <v>2650</v>
      </c>
      <c r="H7" s="136">
        <v>3500</v>
      </c>
      <c r="I7" s="136">
        <v>150</v>
      </c>
      <c r="J7" t="s">
        <v>288</v>
      </c>
      <c r="L7" s="3"/>
      <c r="M7" s="3"/>
      <c r="N7" s="3"/>
      <c r="O7" s="3"/>
      <c r="P7" s="3"/>
      <c r="Q7" s="3"/>
      <c r="R7" s="3"/>
      <c r="S7" s="3"/>
    </row>
    <row r="8" spans="1:22" x14ac:dyDescent="0.25">
      <c r="D8" s="136" t="s">
        <v>11</v>
      </c>
      <c r="E8" s="136">
        <v>2</v>
      </c>
      <c r="F8" s="136">
        <v>100</v>
      </c>
      <c r="G8" s="136">
        <v>2650</v>
      </c>
      <c r="H8" s="136">
        <v>3500</v>
      </c>
      <c r="I8" s="136">
        <v>150</v>
      </c>
      <c r="J8" t="s">
        <v>90</v>
      </c>
      <c r="L8" s="3"/>
      <c r="M8" s="3"/>
      <c r="N8" s="3"/>
      <c r="O8" s="3"/>
      <c r="P8" s="3"/>
      <c r="Q8" s="3"/>
      <c r="R8" s="3"/>
      <c r="S8" s="3"/>
      <c r="T8" s="3"/>
      <c r="V8" s="3"/>
    </row>
    <row r="9" spans="1:22" x14ac:dyDescent="0.25">
      <c r="D9" s="136" t="s">
        <v>11</v>
      </c>
      <c r="E9" s="136">
        <v>2</v>
      </c>
      <c r="F9" s="136">
        <v>125</v>
      </c>
      <c r="G9" s="136">
        <v>2650</v>
      </c>
      <c r="H9" s="136">
        <v>3500</v>
      </c>
      <c r="I9" s="136">
        <v>150</v>
      </c>
      <c r="J9" t="s">
        <v>129</v>
      </c>
      <c r="L9" s="3"/>
      <c r="M9" s="3"/>
      <c r="N9" s="3"/>
      <c r="O9" s="3"/>
    </row>
    <row r="10" spans="1:22" x14ac:dyDescent="0.25">
      <c r="D10" s="136" t="s">
        <v>11</v>
      </c>
      <c r="E10" s="136">
        <v>7</v>
      </c>
      <c r="F10" s="139">
        <v>16</v>
      </c>
      <c r="G10" s="139">
        <v>7400</v>
      </c>
      <c r="H10" s="139">
        <v>12000</v>
      </c>
      <c r="I10" s="136">
        <v>150</v>
      </c>
      <c r="J10" t="s">
        <v>294</v>
      </c>
      <c r="L10" s="139" t="s">
        <v>301</v>
      </c>
      <c r="M10" s="139"/>
      <c r="N10" s="3"/>
      <c r="O10" s="3"/>
    </row>
    <row r="11" spans="1:22" x14ac:dyDescent="0.25">
      <c r="D11" s="136" t="s">
        <v>11</v>
      </c>
      <c r="E11" s="137">
        <v>7</v>
      </c>
      <c r="F11" s="136">
        <v>25</v>
      </c>
      <c r="G11" s="136">
        <v>7400</v>
      </c>
      <c r="H11" s="136">
        <v>12000</v>
      </c>
      <c r="I11" s="136">
        <v>150</v>
      </c>
      <c r="J11" t="s">
        <v>289</v>
      </c>
      <c r="L11" s="3"/>
    </row>
    <row r="12" spans="1:22" x14ac:dyDescent="0.25">
      <c r="D12" s="136" t="s">
        <v>11</v>
      </c>
      <c r="E12" s="137">
        <v>7</v>
      </c>
      <c r="F12" s="136">
        <v>38.1</v>
      </c>
      <c r="G12" s="136">
        <v>7400</v>
      </c>
      <c r="H12" s="136">
        <v>12000</v>
      </c>
      <c r="I12" s="136">
        <v>150</v>
      </c>
      <c r="J12" t="s">
        <v>290</v>
      </c>
    </row>
    <row r="13" spans="1:22" x14ac:dyDescent="0.25">
      <c r="D13" s="136" t="s">
        <v>11</v>
      </c>
      <c r="E13" s="137">
        <v>7</v>
      </c>
      <c r="F13" s="136">
        <v>50</v>
      </c>
      <c r="G13" s="136">
        <v>7400</v>
      </c>
      <c r="H13" s="136">
        <v>12000</v>
      </c>
      <c r="I13" s="136">
        <v>150</v>
      </c>
      <c r="J13" t="s">
        <v>291</v>
      </c>
    </row>
    <row r="14" spans="1:22" x14ac:dyDescent="0.25">
      <c r="D14" s="136" t="s">
        <v>11</v>
      </c>
      <c r="E14" s="137">
        <v>7</v>
      </c>
      <c r="F14" s="136">
        <v>63.5</v>
      </c>
      <c r="G14" s="136">
        <v>7400</v>
      </c>
      <c r="H14" s="136">
        <v>12000</v>
      </c>
      <c r="I14" s="136">
        <v>150</v>
      </c>
      <c r="J14" t="s">
        <v>292</v>
      </c>
    </row>
    <row r="15" spans="1:22" x14ac:dyDescent="0.25">
      <c r="D15" s="136" t="s">
        <v>11</v>
      </c>
      <c r="E15" s="137">
        <v>7</v>
      </c>
      <c r="F15" s="136">
        <v>80</v>
      </c>
      <c r="G15" s="136">
        <v>7400</v>
      </c>
      <c r="H15" s="136">
        <v>12000</v>
      </c>
      <c r="I15" s="136">
        <v>150</v>
      </c>
      <c r="J15" t="s">
        <v>293</v>
      </c>
    </row>
    <row r="16" spans="1:22" x14ac:dyDescent="0.25">
      <c r="D16" s="136" t="s">
        <v>11</v>
      </c>
      <c r="E16" s="137">
        <v>7</v>
      </c>
      <c r="F16" s="136">
        <v>100</v>
      </c>
      <c r="G16" s="136">
        <v>7400</v>
      </c>
      <c r="H16" s="136">
        <v>12000</v>
      </c>
      <c r="I16" s="136">
        <v>150</v>
      </c>
      <c r="J16" t="s">
        <v>92</v>
      </c>
    </row>
    <row r="17" spans="4:13" x14ac:dyDescent="0.25">
      <c r="D17" s="136" t="s">
        <v>11</v>
      </c>
      <c r="E17" s="137">
        <v>7</v>
      </c>
      <c r="F17" s="136">
        <v>125</v>
      </c>
      <c r="G17" s="136">
        <v>7400</v>
      </c>
      <c r="H17" s="136">
        <v>12100</v>
      </c>
      <c r="I17" s="136">
        <v>150</v>
      </c>
      <c r="J17" t="s">
        <v>93</v>
      </c>
    </row>
    <row r="18" spans="4:13" x14ac:dyDescent="0.25">
      <c r="D18" s="136" t="s">
        <v>11</v>
      </c>
      <c r="E18" s="137">
        <v>7</v>
      </c>
      <c r="F18" s="136">
        <v>160</v>
      </c>
      <c r="G18" s="136">
        <v>7400</v>
      </c>
      <c r="H18" s="136">
        <v>12100</v>
      </c>
      <c r="I18" s="136">
        <v>150</v>
      </c>
      <c r="J18" t="s">
        <v>94</v>
      </c>
    </row>
    <row r="19" spans="4:13" x14ac:dyDescent="0.25">
      <c r="D19" s="136" t="s">
        <v>11</v>
      </c>
      <c r="E19" s="137">
        <v>7</v>
      </c>
      <c r="F19" s="136">
        <v>200</v>
      </c>
      <c r="G19" s="136">
        <v>7400</v>
      </c>
      <c r="H19" s="136">
        <v>12100</v>
      </c>
      <c r="I19" s="136">
        <v>150</v>
      </c>
      <c r="J19" t="s">
        <v>95</v>
      </c>
    </row>
    <row r="20" spans="4:13" x14ac:dyDescent="0.25">
      <c r="D20" s="136" t="s">
        <v>11</v>
      </c>
      <c r="E20" s="137">
        <v>15</v>
      </c>
      <c r="F20" s="139">
        <v>16</v>
      </c>
      <c r="G20" s="139">
        <v>15000</v>
      </c>
      <c r="H20" s="139">
        <v>23000</v>
      </c>
      <c r="I20" s="136">
        <v>150</v>
      </c>
      <c r="J20" t="s">
        <v>300</v>
      </c>
      <c r="L20" s="139" t="s">
        <v>301</v>
      </c>
      <c r="M20" s="139"/>
    </row>
    <row r="21" spans="4:13" x14ac:dyDescent="0.25">
      <c r="D21" s="136" t="s">
        <v>11</v>
      </c>
      <c r="E21" s="137">
        <v>15</v>
      </c>
      <c r="F21" s="136">
        <v>25</v>
      </c>
      <c r="G21" s="136">
        <v>15000</v>
      </c>
      <c r="H21" s="136">
        <v>23000</v>
      </c>
      <c r="I21" s="136">
        <v>150</v>
      </c>
      <c r="J21" t="s">
        <v>295</v>
      </c>
    </row>
    <row r="22" spans="4:13" x14ac:dyDescent="0.25">
      <c r="D22" s="136" t="s">
        <v>11</v>
      </c>
      <c r="E22" s="137">
        <v>15</v>
      </c>
      <c r="F22" s="136">
        <v>38.1</v>
      </c>
      <c r="G22" s="136">
        <v>15000</v>
      </c>
      <c r="H22" s="136">
        <v>23000</v>
      </c>
      <c r="I22" s="136">
        <v>150</v>
      </c>
      <c r="J22" t="s">
        <v>296</v>
      </c>
    </row>
    <row r="23" spans="4:13" x14ac:dyDescent="0.25">
      <c r="D23" s="136" t="s">
        <v>11</v>
      </c>
      <c r="E23" s="137">
        <v>15</v>
      </c>
      <c r="F23" s="136">
        <v>50</v>
      </c>
      <c r="G23" s="136">
        <v>15000</v>
      </c>
      <c r="H23" s="136">
        <v>23000</v>
      </c>
      <c r="I23" s="136">
        <v>150</v>
      </c>
      <c r="J23" s="3" t="s">
        <v>297</v>
      </c>
    </row>
    <row r="24" spans="4:13" x14ac:dyDescent="0.25">
      <c r="D24" s="136" t="s">
        <v>11</v>
      </c>
      <c r="E24" s="137">
        <v>15</v>
      </c>
      <c r="F24" s="136">
        <v>63.5</v>
      </c>
      <c r="G24" s="136">
        <v>15000</v>
      </c>
      <c r="H24" s="136">
        <v>23000</v>
      </c>
      <c r="I24" s="136">
        <v>150</v>
      </c>
      <c r="J24" t="s">
        <v>298</v>
      </c>
    </row>
    <row r="25" spans="4:13" x14ac:dyDescent="0.25">
      <c r="D25" s="136" t="s">
        <v>11</v>
      </c>
      <c r="E25" s="137">
        <v>15</v>
      </c>
      <c r="F25" s="136">
        <v>80</v>
      </c>
      <c r="G25" s="136">
        <v>15000</v>
      </c>
      <c r="H25" s="136">
        <v>23000</v>
      </c>
      <c r="I25" s="136">
        <v>150</v>
      </c>
      <c r="J25" t="s">
        <v>299</v>
      </c>
    </row>
    <row r="26" spans="4:13" x14ac:dyDescent="0.25">
      <c r="D26" s="136" t="s">
        <v>11</v>
      </c>
      <c r="E26" s="137">
        <v>15</v>
      </c>
      <c r="F26" s="136">
        <v>100</v>
      </c>
      <c r="G26" s="136">
        <v>15000</v>
      </c>
      <c r="H26" s="136">
        <v>23000</v>
      </c>
      <c r="I26" s="136">
        <v>150</v>
      </c>
      <c r="J26" t="s">
        <v>98</v>
      </c>
    </row>
    <row r="27" spans="4:13" x14ac:dyDescent="0.25">
      <c r="D27" s="136" t="s">
        <v>11</v>
      </c>
      <c r="E27" s="137">
        <v>15</v>
      </c>
      <c r="F27" s="136">
        <v>125</v>
      </c>
      <c r="G27" s="136">
        <v>15000</v>
      </c>
      <c r="H27" s="136">
        <v>23000</v>
      </c>
      <c r="I27" s="136">
        <v>150</v>
      </c>
      <c r="J27" t="s">
        <v>99</v>
      </c>
    </row>
    <row r="28" spans="4:13" x14ac:dyDescent="0.25">
      <c r="D28" s="136" t="s">
        <v>11</v>
      </c>
      <c r="E28" s="137">
        <v>15</v>
      </c>
      <c r="F28" s="136">
        <v>160</v>
      </c>
      <c r="G28" s="136">
        <v>15000</v>
      </c>
      <c r="H28" s="136">
        <v>23000</v>
      </c>
      <c r="I28" s="136">
        <v>150</v>
      </c>
      <c r="J28" t="s">
        <v>100</v>
      </c>
    </row>
    <row r="29" spans="4:13" x14ac:dyDescent="0.25">
      <c r="D29" s="136" t="s">
        <v>11</v>
      </c>
      <c r="E29" s="137">
        <v>15</v>
      </c>
      <c r="F29" s="136">
        <v>200</v>
      </c>
      <c r="G29" s="136">
        <v>15000</v>
      </c>
      <c r="H29" s="136">
        <v>23000</v>
      </c>
      <c r="I29" s="136">
        <v>150</v>
      </c>
      <c r="J29" t="s">
        <v>101</v>
      </c>
    </row>
    <row r="30" spans="4:13" x14ac:dyDescent="0.25">
      <c r="D30" s="136" t="s">
        <v>11</v>
      </c>
      <c r="E30" s="137">
        <v>30</v>
      </c>
      <c r="F30" s="139">
        <v>16</v>
      </c>
      <c r="G30" s="139">
        <v>30000</v>
      </c>
      <c r="H30" s="139">
        <v>42000</v>
      </c>
      <c r="I30" s="136">
        <v>150</v>
      </c>
      <c r="J30" t="s">
        <v>307</v>
      </c>
      <c r="L30" s="139" t="s">
        <v>301</v>
      </c>
      <c r="M30" s="139"/>
    </row>
    <row r="31" spans="4:13" x14ac:dyDescent="0.25">
      <c r="D31" s="136" t="s">
        <v>11</v>
      </c>
      <c r="E31" s="137">
        <v>30</v>
      </c>
      <c r="F31" s="136">
        <v>25</v>
      </c>
      <c r="G31" s="136">
        <v>30000</v>
      </c>
      <c r="H31" s="136">
        <v>42000</v>
      </c>
      <c r="I31" s="136">
        <v>150</v>
      </c>
      <c r="J31" t="s">
        <v>302</v>
      </c>
    </row>
    <row r="32" spans="4:13" x14ac:dyDescent="0.25">
      <c r="D32" s="136" t="s">
        <v>11</v>
      </c>
      <c r="E32" s="137">
        <v>30</v>
      </c>
      <c r="F32" s="136">
        <v>38.1</v>
      </c>
      <c r="G32" s="136">
        <v>30000</v>
      </c>
      <c r="H32" s="136">
        <v>43000</v>
      </c>
      <c r="I32" s="136">
        <v>150</v>
      </c>
      <c r="J32" t="s">
        <v>303</v>
      </c>
    </row>
    <row r="33" spans="4:13" x14ac:dyDescent="0.25">
      <c r="D33" s="136" t="s">
        <v>11</v>
      </c>
      <c r="E33" s="137">
        <v>30</v>
      </c>
      <c r="F33" s="136">
        <v>50</v>
      </c>
      <c r="G33" s="136">
        <v>30000</v>
      </c>
      <c r="H33" s="136">
        <v>44000</v>
      </c>
      <c r="I33" s="136">
        <v>150</v>
      </c>
      <c r="J33" t="s">
        <v>304</v>
      </c>
    </row>
    <row r="34" spans="4:13" x14ac:dyDescent="0.25">
      <c r="D34" s="136" t="s">
        <v>11</v>
      </c>
      <c r="E34" s="137">
        <v>30</v>
      </c>
      <c r="F34" s="136">
        <v>63.5</v>
      </c>
      <c r="G34" s="136">
        <v>30000</v>
      </c>
      <c r="H34" s="136">
        <v>45000</v>
      </c>
      <c r="I34" s="136">
        <v>150</v>
      </c>
      <c r="J34" t="s">
        <v>305</v>
      </c>
    </row>
    <row r="35" spans="4:13" x14ac:dyDescent="0.25">
      <c r="D35" s="136" t="s">
        <v>11</v>
      </c>
      <c r="E35" s="137">
        <v>30</v>
      </c>
      <c r="F35" s="136">
        <v>80</v>
      </c>
      <c r="G35" s="136">
        <v>30000</v>
      </c>
      <c r="H35" s="136">
        <v>46000</v>
      </c>
      <c r="I35" s="136">
        <v>150</v>
      </c>
      <c r="J35" t="s">
        <v>306</v>
      </c>
    </row>
    <row r="36" spans="4:13" x14ac:dyDescent="0.25">
      <c r="D36" s="136" t="s">
        <v>11</v>
      </c>
      <c r="E36" s="137">
        <v>30</v>
      </c>
      <c r="F36" s="136">
        <v>100</v>
      </c>
      <c r="G36" s="136">
        <v>30000</v>
      </c>
      <c r="H36" s="136">
        <v>47000</v>
      </c>
      <c r="I36" s="136">
        <v>150</v>
      </c>
      <c r="J36" t="s">
        <v>104</v>
      </c>
    </row>
    <row r="37" spans="4:13" x14ac:dyDescent="0.25">
      <c r="D37" s="136" t="s">
        <v>11</v>
      </c>
      <c r="E37" s="137">
        <v>30</v>
      </c>
      <c r="F37" s="136">
        <v>125</v>
      </c>
      <c r="G37" s="136">
        <v>30000</v>
      </c>
      <c r="H37" s="136">
        <v>47000</v>
      </c>
      <c r="I37" s="136">
        <v>150</v>
      </c>
      <c r="J37" t="s">
        <v>105</v>
      </c>
    </row>
    <row r="38" spans="4:13" x14ac:dyDescent="0.25">
      <c r="D38" s="136" t="s">
        <v>11</v>
      </c>
      <c r="E38" s="137">
        <v>30</v>
      </c>
      <c r="F38" s="136">
        <v>160</v>
      </c>
      <c r="G38" s="136">
        <v>30000</v>
      </c>
      <c r="H38" s="136">
        <v>47000</v>
      </c>
      <c r="I38" s="136">
        <v>150</v>
      </c>
      <c r="J38" t="s">
        <v>106</v>
      </c>
    </row>
    <row r="39" spans="4:13" x14ac:dyDescent="0.25">
      <c r="D39" s="136" t="s">
        <v>11</v>
      </c>
      <c r="E39" s="137">
        <v>30</v>
      </c>
      <c r="F39" s="136">
        <v>200</v>
      </c>
      <c r="G39" s="136">
        <v>30000</v>
      </c>
      <c r="H39" s="136">
        <v>48000</v>
      </c>
      <c r="I39" s="136">
        <v>150</v>
      </c>
      <c r="J39" t="s">
        <v>107</v>
      </c>
    </row>
    <row r="40" spans="4:13" x14ac:dyDescent="0.25">
      <c r="D40" s="136" t="s">
        <v>11</v>
      </c>
      <c r="E40" s="137">
        <v>50</v>
      </c>
      <c r="F40" s="139">
        <v>16</v>
      </c>
      <c r="G40" s="139">
        <v>50000</v>
      </c>
      <c r="H40" s="139">
        <v>71000</v>
      </c>
      <c r="I40" s="136">
        <v>150</v>
      </c>
      <c r="J40" t="s">
        <v>313</v>
      </c>
      <c r="L40" s="139" t="s">
        <v>301</v>
      </c>
      <c r="M40" s="139"/>
    </row>
    <row r="41" spans="4:13" x14ac:dyDescent="0.25">
      <c r="D41" s="136" t="s">
        <v>11</v>
      </c>
      <c r="E41" s="137">
        <v>50</v>
      </c>
      <c r="F41" s="136">
        <v>25</v>
      </c>
      <c r="G41" s="136">
        <v>50000</v>
      </c>
      <c r="H41" s="136">
        <v>71000</v>
      </c>
      <c r="I41" s="136">
        <v>150</v>
      </c>
      <c r="J41" t="s">
        <v>308</v>
      </c>
    </row>
    <row r="42" spans="4:13" x14ac:dyDescent="0.25">
      <c r="D42" s="136" t="s">
        <v>11</v>
      </c>
      <c r="E42" s="137">
        <v>50</v>
      </c>
      <c r="F42" s="136">
        <v>38.1</v>
      </c>
      <c r="G42" s="136">
        <v>50000</v>
      </c>
      <c r="H42" s="136">
        <v>75000</v>
      </c>
      <c r="I42" s="136">
        <v>150</v>
      </c>
      <c r="J42" t="s">
        <v>309</v>
      </c>
    </row>
    <row r="43" spans="4:13" x14ac:dyDescent="0.25">
      <c r="D43" s="136" t="s">
        <v>11</v>
      </c>
      <c r="E43" s="137">
        <v>50</v>
      </c>
      <c r="F43" s="136">
        <v>50</v>
      </c>
      <c r="G43" s="136">
        <v>50000</v>
      </c>
      <c r="H43" s="136">
        <v>77000</v>
      </c>
      <c r="I43" s="136">
        <v>150</v>
      </c>
      <c r="J43" t="s">
        <v>310</v>
      </c>
    </row>
    <row r="44" spans="4:13" x14ac:dyDescent="0.25">
      <c r="D44" s="136" t="s">
        <v>11</v>
      </c>
      <c r="E44" s="137">
        <v>50</v>
      </c>
      <c r="F44" s="136">
        <v>63.5</v>
      </c>
      <c r="G44" s="136">
        <v>50000</v>
      </c>
      <c r="H44" s="136">
        <v>80000</v>
      </c>
      <c r="I44" s="136">
        <v>150</v>
      </c>
      <c r="J44" t="s">
        <v>311</v>
      </c>
    </row>
    <row r="45" spans="4:13" x14ac:dyDescent="0.25">
      <c r="D45" s="136" t="s">
        <v>11</v>
      </c>
      <c r="E45" s="137">
        <v>50</v>
      </c>
      <c r="F45" s="136">
        <v>80</v>
      </c>
      <c r="G45" s="136">
        <v>50000</v>
      </c>
      <c r="H45" s="136">
        <v>81000</v>
      </c>
      <c r="I45" s="136">
        <v>150</v>
      </c>
      <c r="J45" t="s">
        <v>312</v>
      </c>
    </row>
    <row r="46" spans="4:13" x14ac:dyDescent="0.25">
      <c r="D46" s="136" t="s">
        <v>11</v>
      </c>
      <c r="E46" s="137">
        <v>50</v>
      </c>
      <c r="F46" s="136">
        <v>100</v>
      </c>
      <c r="G46" s="136">
        <v>50000</v>
      </c>
      <c r="H46" s="136">
        <v>82000</v>
      </c>
      <c r="I46" s="136">
        <v>150</v>
      </c>
      <c r="J46" t="s">
        <v>110</v>
      </c>
    </row>
    <row r="47" spans="4:13" x14ac:dyDescent="0.25">
      <c r="D47" s="136" t="s">
        <v>11</v>
      </c>
      <c r="E47" s="137">
        <v>50</v>
      </c>
      <c r="F47" s="136">
        <v>125</v>
      </c>
      <c r="G47" s="136">
        <v>50000</v>
      </c>
      <c r="H47" s="136">
        <v>82000</v>
      </c>
      <c r="I47" s="136">
        <v>150</v>
      </c>
      <c r="J47" t="s">
        <v>111</v>
      </c>
    </row>
    <row r="48" spans="4:13" x14ac:dyDescent="0.25">
      <c r="D48" s="136" t="s">
        <v>11</v>
      </c>
      <c r="E48" s="137">
        <v>50</v>
      </c>
      <c r="F48" s="136">
        <v>160</v>
      </c>
      <c r="G48" s="136">
        <v>50000</v>
      </c>
      <c r="H48" s="136">
        <v>83000</v>
      </c>
      <c r="I48" s="136">
        <v>150</v>
      </c>
      <c r="J48" t="s">
        <v>112</v>
      </c>
    </row>
    <row r="49" spans="4:13" x14ac:dyDescent="0.25">
      <c r="D49" s="136" t="s">
        <v>11</v>
      </c>
      <c r="E49" s="137">
        <v>50</v>
      </c>
      <c r="F49" s="136">
        <v>200</v>
      </c>
      <c r="G49" s="136">
        <v>50000</v>
      </c>
      <c r="H49" s="136">
        <v>84000</v>
      </c>
      <c r="I49" s="136">
        <v>150</v>
      </c>
      <c r="J49" t="s">
        <v>113</v>
      </c>
    </row>
    <row r="50" spans="4:13" x14ac:dyDescent="0.25">
      <c r="D50" s="136" t="s">
        <v>11</v>
      </c>
      <c r="E50" s="137">
        <v>75</v>
      </c>
      <c r="F50" s="139">
        <v>16</v>
      </c>
      <c r="G50" s="139">
        <v>75000</v>
      </c>
      <c r="H50" s="139">
        <v>105000</v>
      </c>
      <c r="I50" s="136">
        <v>150</v>
      </c>
      <c r="J50" t="s">
        <v>319</v>
      </c>
      <c r="L50" s="139" t="s">
        <v>301</v>
      </c>
      <c r="M50" s="139"/>
    </row>
    <row r="51" spans="4:13" x14ac:dyDescent="0.25">
      <c r="D51" s="136" t="s">
        <v>11</v>
      </c>
      <c r="E51" s="137">
        <v>75</v>
      </c>
      <c r="F51" s="136">
        <v>25</v>
      </c>
      <c r="G51" s="136">
        <v>75000</v>
      </c>
      <c r="H51" s="136">
        <v>105000</v>
      </c>
      <c r="I51" s="136">
        <v>150</v>
      </c>
      <c r="J51" t="s">
        <v>314</v>
      </c>
    </row>
    <row r="52" spans="4:13" x14ac:dyDescent="0.25">
      <c r="D52" s="136" t="s">
        <v>11</v>
      </c>
      <c r="E52" s="137">
        <v>75</v>
      </c>
      <c r="F52" s="136">
        <v>38.1</v>
      </c>
      <c r="G52" s="136">
        <v>75000</v>
      </c>
      <c r="H52" s="136">
        <v>110000</v>
      </c>
      <c r="I52" s="136">
        <v>150</v>
      </c>
      <c r="J52" t="s">
        <v>315</v>
      </c>
    </row>
    <row r="53" spans="4:13" x14ac:dyDescent="0.25">
      <c r="D53" s="136" t="s">
        <v>11</v>
      </c>
      <c r="E53" s="137">
        <v>75</v>
      </c>
      <c r="F53" s="136">
        <v>50</v>
      </c>
      <c r="G53" s="136">
        <v>75000</v>
      </c>
      <c r="H53" s="136">
        <v>113000</v>
      </c>
      <c r="I53" s="136">
        <v>150</v>
      </c>
      <c r="J53" t="s">
        <v>316</v>
      </c>
    </row>
    <row r="54" spans="4:13" x14ac:dyDescent="0.25">
      <c r="D54" s="136" t="s">
        <v>11</v>
      </c>
      <c r="E54" s="137">
        <v>75</v>
      </c>
      <c r="F54" s="136">
        <v>63.5</v>
      </c>
      <c r="G54" s="136">
        <v>75000</v>
      </c>
      <c r="H54" s="136">
        <v>115000</v>
      </c>
      <c r="I54" s="136">
        <v>150</v>
      </c>
      <c r="J54" t="s">
        <v>317</v>
      </c>
    </row>
    <row r="55" spans="4:13" x14ac:dyDescent="0.25">
      <c r="D55" s="136" t="s">
        <v>11</v>
      </c>
      <c r="E55" s="137">
        <v>75</v>
      </c>
      <c r="F55" s="136">
        <v>80</v>
      </c>
      <c r="G55" s="136">
        <v>75000</v>
      </c>
      <c r="H55" s="136">
        <v>117000</v>
      </c>
      <c r="I55" s="136">
        <v>150</v>
      </c>
      <c r="J55" t="s">
        <v>318</v>
      </c>
    </row>
    <row r="56" spans="4:13" x14ac:dyDescent="0.25">
      <c r="D56" s="136" t="s">
        <v>11</v>
      </c>
      <c r="E56" s="137">
        <v>75</v>
      </c>
      <c r="F56" s="136">
        <v>100</v>
      </c>
      <c r="G56" s="136">
        <v>75000</v>
      </c>
      <c r="H56" s="136">
        <v>119000</v>
      </c>
      <c r="I56" s="136">
        <v>150</v>
      </c>
      <c r="J56" t="s">
        <v>116</v>
      </c>
    </row>
    <row r="57" spans="4:13" x14ac:dyDescent="0.25">
      <c r="D57" s="136" t="s">
        <v>11</v>
      </c>
      <c r="E57" s="137">
        <v>75</v>
      </c>
      <c r="F57" s="136">
        <v>125</v>
      </c>
      <c r="G57" s="136">
        <v>75000</v>
      </c>
      <c r="H57" s="136">
        <v>121000</v>
      </c>
      <c r="I57" s="136">
        <v>150</v>
      </c>
      <c r="J57" t="s">
        <v>117</v>
      </c>
    </row>
    <row r="58" spans="4:13" x14ac:dyDescent="0.25">
      <c r="D58" s="136" t="s">
        <v>11</v>
      </c>
      <c r="E58" s="137">
        <v>75</v>
      </c>
      <c r="F58" s="136">
        <v>160</v>
      </c>
      <c r="G58" s="136">
        <v>75000</v>
      </c>
      <c r="H58" s="136">
        <v>122000</v>
      </c>
      <c r="I58" s="136">
        <v>150</v>
      </c>
      <c r="J58" t="s">
        <v>118</v>
      </c>
    </row>
    <row r="59" spans="4:13" x14ac:dyDescent="0.25">
      <c r="D59" s="136" t="s">
        <v>11</v>
      </c>
      <c r="E59" s="137">
        <v>75</v>
      </c>
      <c r="F59" s="136">
        <v>200</v>
      </c>
      <c r="G59" s="136">
        <v>75000</v>
      </c>
      <c r="H59" s="136">
        <v>123000</v>
      </c>
      <c r="I59" s="136">
        <v>150</v>
      </c>
      <c r="J59" t="s">
        <v>119</v>
      </c>
    </row>
    <row r="60" spans="4:13" x14ac:dyDescent="0.25">
      <c r="D60" s="136" t="s">
        <v>12</v>
      </c>
      <c r="E60" s="137">
        <v>3</v>
      </c>
      <c r="F60" s="136">
        <v>25</v>
      </c>
      <c r="G60" s="136">
        <v>3600</v>
      </c>
      <c r="H60" s="136">
        <v>5500</v>
      </c>
      <c r="I60" s="136">
        <v>180</v>
      </c>
      <c r="J60" t="s">
        <v>320</v>
      </c>
    </row>
    <row r="61" spans="4:13" x14ac:dyDescent="0.25">
      <c r="D61" s="136" t="s">
        <v>12</v>
      </c>
      <c r="E61" s="137">
        <v>3</v>
      </c>
      <c r="F61" s="136">
        <v>38</v>
      </c>
      <c r="G61" s="136">
        <v>3600</v>
      </c>
      <c r="H61" s="136">
        <v>5500</v>
      </c>
      <c r="I61" s="136">
        <v>180</v>
      </c>
      <c r="J61" t="s">
        <v>321</v>
      </c>
    </row>
    <row r="62" spans="4:13" x14ac:dyDescent="0.25">
      <c r="D62" s="136" t="s">
        <v>12</v>
      </c>
      <c r="E62" s="137">
        <v>3</v>
      </c>
      <c r="F62" s="136">
        <v>50</v>
      </c>
      <c r="G62" s="136">
        <v>3600</v>
      </c>
      <c r="H62" s="136">
        <v>5600</v>
      </c>
      <c r="I62" s="136">
        <v>180</v>
      </c>
      <c r="J62" t="s">
        <v>322</v>
      </c>
    </row>
    <row r="63" spans="4:13" x14ac:dyDescent="0.25">
      <c r="D63" s="136" t="s">
        <v>12</v>
      </c>
      <c r="E63" s="137">
        <v>3</v>
      </c>
      <c r="F63" s="136">
        <v>63</v>
      </c>
      <c r="G63" s="136">
        <v>3600</v>
      </c>
      <c r="H63" s="136">
        <v>5500</v>
      </c>
      <c r="I63" s="136">
        <v>180</v>
      </c>
      <c r="J63" t="s">
        <v>323</v>
      </c>
    </row>
    <row r="64" spans="4:13" x14ac:dyDescent="0.25">
      <c r="D64" s="136" t="s">
        <v>12</v>
      </c>
      <c r="E64" s="137">
        <v>3</v>
      </c>
      <c r="F64" s="136">
        <v>80</v>
      </c>
      <c r="G64" s="136">
        <v>3600</v>
      </c>
      <c r="H64" s="136">
        <v>5500</v>
      </c>
      <c r="I64" s="136">
        <v>180</v>
      </c>
      <c r="J64" t="s">
        <v>324</v>
      </c>
    </row>
    <row r="65" spans="4:10" x14ac:dyDescent="0.25">
      <c r="D65" s="136" t="s">
        <v>12</v>
      </c>
      <c r="E65" s="137">
        <v>3</v>
      </c>
      <c r="F65" s="136">
        <v>100</v>
      </c>
      <c r="G65" s="136">
        <v>3600</v>
      </c>
      <c r="H65" s="136">
        <v>5500</v>
      </c>
      <c r="I65" s="136">
        <v>180</v>
      </c>
      <c r="J65" t="s">
        <v>74</v>
      </c>
    </row>
    <row r="66" spans="4:10" x14ac:dyDescent="0.25">
      <c r="D66" s="136" t="s">
        <v>12</v>
      </c>
      <c r="E66" s="137">
        <v>3</v>
      </c>
      <c r="F66" s="136">
        <v>125</v>
      </c>
      <c r="G66" s="136">
        <v>3600</v>
      </c>
      <c r="H66" s="136">
        <v>5500</v>
      </c>
      <c r="I66" s="136">
        <v>180</v>
      </c>
      <c r="J66" t="s">
        <v>128</v>
      </c>
    </row>
    <row r="67" spans="4:10" x14ac:dyDescent="0.25">
      <c r="D67" s="136" t="s">
        <v>12</v>
      </c>
      <c r="E67" s="137">
        <v>5</v>
      </c>
      <c r="F67" s="136">
        <v>25</v>
      </c>
      <c r="G67" s="136">
        <v>4700</v>
      </c>
      <c r="H67" s="136">
        <v>7300</v>
      </c>
      <c r="I67" s="136">
        <v>150</v>
      </c>
      <c r="J67" t="s">
        <v>325</v>
      </c>
    </row>
    <row r="68" spans="4:10" x14ac:dyDescent="0.25">
      <c r="D68" s="136" t="s">
        <v>12</v>
      </c>
      <c r="E68" s="137">
        <v>5</v>
      </c>
      <c r="F68" s="136">
        <v>38</v>
      </c>
      <c r="G68" s="136">
        <v>4700</v>
      </c>
      <c r="H68" s="136">
        <v>7200</v>
      </c>
      <c r="I68" s="136">
        <v>150</v>
      </c>
      <c r="J68" t="s">
        <v>326</v>
      </c>
    </row>
    <row r="69" spans="4:10" x14ac:dyDescent="0.25">
      <c r="D69" s="136" t="s">
        <v>12</v>
      </c>
      <c r="E69" s="137">
        <v>5</v>
      </c>
      <c r="F69" s="136">
        <v>50</v>
      </c>
      <c r="G69" s="136">
        <v>4700</v>
      </c>
      <c r="H69" s="136">
        <v>7200</v>
      </c>
      <c r="I69" s="136">
        <v>150</v>
      </c>
      <c r="J69" t="s">
        <v>327</v>
      </c>
    </row>
    <row r="70" spans="4:10" x14ac:dyDescent="0.25">
      <c r="D70" s="136" t="s">
        <v>12</v>
      </c>
      <c r="E70" s="137">
        <v>5</v>
      </c>
      <c r="F70" s="136">
        <v>63</v>
      </c>
      <c r="G70" s="136">
        <v>4700</v>
      </c>
      <c r="H70" s="136">
        <v>7200</v>
      </c>
      <c r="I70" s="136">
        <v>150</v>
      </c>
      <c r="J70" t="s">
        <v>328</v>
      </c>
    </row>
    <row r="71" spans="4:10" x14ac:dyDescent="0.25">
      <c r="D71" s="136" t="s">
        <v>12</v>
      </c>
      <c r="E71" s="137">
        <v>5</v>
      </c>
      <c r="F71" s="136">
        <v>80</v>
      </c>
      <c r="G71" s="136">
        <v>4700</v>
      </c>
      <c r="H71" s="136">
        <v>7100</v>
      </c>
      <c r="I71" s="136">
        <v>150</v>
      </c>
      <c r="J71" t="s">
        <v>329</v>
      </c>
    </row>
    <row r="72" spans="4:10" x14ac:dyDescent="0.25">
      <c r="D72" s="136" t="s">
        <v>12</v>
      </c>
      <c r="E72" s="137">
        <v>5</v>
      </c>
      <c r="F72" s="136">
        <v>100</v>
      </c>
      <c r="G72" s="136">
        <v>4700</v>
      </c>
      <c r="H72" s="136">
        <v>7100</v>
      </c>
      <c r="I72" s="136">
        <v>150</v>
      </c>
      <c r="J72" t="s">
        <v>75</v>
      </c>
    </row>
    <row r="73" spans="4:10" x14ac:dyDescent="0.25">
      <c r="D73" s="136" t="s">
        <v>12</v>
      </c>
      <c r="E73" s="137">
        <v>5</v>
      </c>
      <c r="F73" s="136">
        <v>125</v>
      </c>
      <c r="G73" s="136">
        <v>4700</v>
      </c>
      <c r="H73" s="136">
        <v>7100</v>
      </c>
      <c r="I73" s="136">
        <v>150</v>
      </c>
      <c r="J73" t="s">
        <v>130</v>
      </c>
    </row>
    <row r="74" spans="4:10" x14ac:dyDescent="0.25">
      <c r="D74" s="136" t="s">
        <v>12</v>
      </c>
      <c r="E74" s="137">
        <v>7</v>
      </c>
      <c r="F74" s="136">
        <v>25</v>
      </c>
      <c r="G74" s="136">
        <v>7400</v>
      </c>
      <c r="H74" s="136">
        <v>11800</v>
      </c>
      <c r="I74" s="136">
        <v>150</v>
      </c>
      <c r="J74" t="s">
        <v>330</v>
      </c>
    </row>
    <row r="75" spans="4:10" x14ac:dyDescent="0.25">
      <c r="D75" s="136" t="s">
        <v>12</v>
      </c>
      <c r="E75" s="137">
        <v>7</v>
      </c>
      <c r="F75" s="136">
        <v>38</v>
      </c>
      <c r="G75" s="136">
        <v>7400</v>
      </c>
      <c r="H75" s="136">
        <v>11800</v>
      </c>
      <c r="I75" s="136">
        <v>150</v>
      </c>
      <c r="J75" t="s">
        <v>331</v>
      </c>
    </row>
    <row r="76" spans="4:10" x14ac:dyDescent="0.25">
      <c r="D76" s="136" t="s">
        <v>12</v>
      </c>
      <c r="E76" s="137">
        <v>7</v>
      </c>
      <c r="F76" s="136">
        <v>50</v>
      </c>
      <c r="G76" s="136">
        <v>7400</v>
      </c>
      <c r="H76" s="136">
        <v>11800</v>
      </c>
      <c r="I76" s="136">
        <v>150</v>
      </c>
      <c r="J76" t="s">
        <v>332</v>
      </c>
    </row>
    <row r="77" spans="4:10" x14ac:dyDescent="0.25">
      <c r="D77" s="136" t="s">
        <v>12</v>
      </c>
      <c r="E77" s="137">
        <v>7</v>
      </c>
      <c r="F77" s="136">
        <v>63</v>
      </c>
      <c r="G77" s="136">
        <v>7400</v>
      </c>
      <c r="H77" s="136">
        <v>11800</v>
      </c>
      <c r="I77" s="136">
        <v>150</v>
      </c>
      <c r="J77" t="s">
        <v>333</v>
      </c>
    </row>
    <row r="78" spans="4:10" x14ac:dyDescent="0.25">
      <c r="D78" s="136" t="s">
        <v>12</v>
      </c>
      <c r="E78" s="137">
        <v>7</v>
      </c>
      <c r="F78" s="136">
        <v>80</v>
      </c>
      <c r="G78" s="136">
        <v>7400</v>
      </c>
      <c r="H78" s="136">
        <v>11900</v>
      </c>
      <c r="I78" s="136">
        <v>150</v>
      </c>
      <c r="J78" t="s">
        <v>334</v>
      </c>
    </row>
    <row r="79" spans="4:10" x14ac:dyDescent="0.25">
      <c r="D79" s="136" t="s">
        <v>12</v>
      </c>
      <c r="E79" s="137">
        <v>7</v>
      </c>
      <c r="F79" s="136">
        <v>100</v>
      </c>
      <c r="G79" s="136">
        <v>7400</v>
      </c>
      <c r="H79" s="136">
        <v>11900</v>
      </c>
      <c r="I79" s="136">
        <v>150</v>
      </c>
      <c r="J79" t="s">
        <v>76</v>
      </c>
    </row>
    <row r="80" spans="4:10" x14ac:dyDescent="0.25">
      <c r="D80" s="136" t="s">
        <v>12</v>
      </c>
      <c r="E80" s="137">
        <v>7</v>
      </c>
      <c r="F80" s="136">
        <v>125</v>
      </c>
      <c r="G80" s="136">
        <v>7400</v>
      </c>
      <c r="H80" s="136">
        <v>11900</v>
      </c>
      <c r="I80" s="136">
        <v>150</v>
      </c>
      <c r="J80" t="s">
        <v>77</v>
      </c>
    </row>
    <row r="81" spans="4:10" x14ac:dyDescent="0.25">
      <c r="D81" s="136" t="s">
        <v>12</v>
      </c>
      <c r="E81" s="137">
        <v>10</v>
      </c>
      <c r="F81" s="136">
        <v>25</v>
      </c>
      <c r="G81" s="136">
        <v>9200</v>
      </c>
      <c r="H81" s="136">
        <v>14200</v>
      </c>
      <c r="I81" s="136">
        <v>150</v>
      </c>
      <c r="J81" t="s">
        <v>335</v>
      </c>
    </row>
    <row r="82" spans="4:10" x14ac:dyDescent="0.25">
      <c r="D82" s="136" t="s">
        <v>12</v>
      </c>
      <c r="E82" s="137">
        <v>10</v>
      </c>
      <c r="F82" s="136">
        <v>38</v>
      </c>
      <c r="G82" s="136">
        <v>9200</v>
      </c>
      <c r="H82" s="136">
        <v>14500</v>
      </c>
      <c r="I82" s="136">
        <v>150</v>
      </c>
      <c r="J82" t="s">
        <v>336</v>
      </c>
    </row>
    <row r="83" spans="4:10" x14ac:dyDescent="0.25">
      <c r="D83" s="136" t="s">
        <v>12</v>
      </c>
      <c r="E83" s="137">
        <v>10</v>
      </c>
      <c r="F83" s="136">
        <v>50</v>
      </c>
      <c r="G83" s="136">
        <v>9200</v>
      </c>
      <c r="H83" s="136">
        <v>14600</v>
      </c>
      <c r="I83" s="136">
        <v>150</v>
      </c>
      <c r="J83" t="s">
        <v>337</v>
      </c>
    </row>
    <row r="84" spans="4:10" x14ac:dyDescent="0.25">
      <c r="D84" s="136" t="s">
        <v>12</v>
      </c>
      <c r="E84" s="137">
        <v>10</v>
      </c>
      <c r="F84" s="136">
        <v>63</v>
      </c>
      <c r="G84" s="136">
        <v>9200</v>
      </c>
      <c r="H84" s="136">
        <v>14700</v>
      </c>
      <c r="I84" s="136">
        <v>150</v>
      </c>
      <c r="J84" t="s">
        <v>338</v>
      </c>
    </row>
    <row r="85" spans="4:10" x14ac:dyDescent="0.25">
      <c r="D85" s="136" t="s">
        <v>12</v>
      </c>
      <c r="E85" s="137">
        <v>10</v>
      </c>
      <c r="F85" s="136">
        <v>80</v>
      </c>
      <c r="G85" s="136">
        <v>9200</v>
      </c>
      <c r="H85" s="136">
        <v>14800</v>
      </c>
      <c r="I85" s="136">
        <v>150</v>
      </c>
      <c r="J85" t="s">
        <v>339</v>
      </c>
    </row>
    <row r="86" spans="4:10" x14ac:dyDescent="0.25">
      <c r="D86" s="136" t="s">
        <v>12</v>
      </c>
      <c r="E86" s="137">
        <v>10</v>
      </c>
      <c r="F86" s="136">
        <v>100</v>
      </c>
      <c r="G86" s="136">
        <v>9200</v>
      </c>
      <c r="H86" s="136">
        <v>14800</v>
      </c>
      <c r="I86" s="136">
        <v>150</v>
      </c>
      <c r="J86" t="s">
        <v>78</v>
      </c>
    </row>
    <row r="87" spans="4:10" x14ac:dyDescent="0.25">
      <c r="D87" s="136" t="s">
        <v>12</v>
      </c>
      <c r="E87" s="137">
        <v>10</v>
      </c>
      <c r="F87" s="136">
        <v>125</v>
      </c>
      <c r="G87" s="136">
        <v>9200</v>
      </c>
      <c r="H87" s="136">
        <v>14800</v>
      </c>
      <c r="I87" s="136">
        <v>150</v>
      </c>
      <c r="J87" t="s">
        <v>79</v>
      </c>
    </row>
    <row r="88" spans="4:10" x14ac:dyDescent="0.25">
      <c r="D88" s="136" t="s">
        <v>12</v>
      </c>
      <c r="E88" s="137">
        <v>15</v>
      </c>
      <c r="F88" s="136">
        <v>25</v>
      </c>
      <c r="G88" s="136">
        <v>15000</v>
      </c>
      <c r="H88" s="136">
        <v>24300</v>
      </c>
      <c r="I88" s="136">
        <v>150</v>
      </c>
      <c r="J88" t="s">
        <v>340</v>
      </c>
    </row>
    <row r="89" spans="4:10" x14ac:dyDescent="0.25">
      <c r="D89" s="136" t="s">
        <v>12</v>
      </c>
      <c r="E89" s="137">
        <v>15</v>
      </c>
      <c r="F89" s="136">
        <v>38</v>
      </c>
      <c r="G89" s="136">
        <v>15000</v>
      </c>
      <c r="H89" s="136">
        <v>23900</v>
      </c>
      <c r="I89" s="136">
        <v>150</v>
      </c>
      <c r="J89" t="s">
        <v>341</v>
      </c>
    </row>
    <row r="90" spans="4:10" x14ac:dyDescent="0.25">
      <c r="D90" s="136" t="s">
        <v>12</v>
      </c>
      <c r="E90" s="137">
        <v>15</v>
      </c>
      <c r="F90" s="136">
        <v>50</v>
      </c>
      <c r="G90" s="136">
        <v>15000</v>
      </c>
      <c r="H90" s="136">
        <v>24000</v>
      </c>
      <c r="I90" s="136">
        <v>150</v>
      </c>
      <c r="J90" t="s">
        <v>342</v>
      </c>
    </row>
    <row r="91" spans="4:10" x14ac:dyDescent="0.25">
      <c r="D91" s="136" t="s">
        <v>12</v>
      </c>
      <c r="E91" s="137">
        <v>15</v>
      </c>
      <c r="F91" s="136">
        <v>63</v>
      </c>
      <c r="G91" s="136">
        <v>15000</v>
      </c>
      <c r="H91" s="136">
        <v>24100</v>
      </c>
      <c r="I91" s="136">
        <v>150</v>
      </c>
      <c r="J91" t="s">
        <v>343</v>
      </c>
    </row>
    <row r="92" spans="4:10" x14ac:dyDescent="0.25">
      <c r="D92" s="136" t="s">
        <v>12</v>
      </c>
      <c r="E92" s="137">
        <v>15</v>
      </c>
      <c r="F92" s="136">
        <v>80</v>
      </c>
      <c r="G92" s="136">
        <v>15000</v>
      </c>
      <c r="H92" s="136">
        <v>24200</v>
      </c>
      <c r="I92" s="136">
        <v>150</v>
      </c>
      <c r="J92" t="s">
        <v>344</v>
      </c>
    </row>
    <row r="93" spans="4:10" x14ac:dyDescent="0.25">
      <c r="D93" s="136" t="s">
        <v>12</v>
      </c>
      <c r="E93" s="137">
        <v>15</v>
      </c>
      <c r="F93" s="136">
        <v>100</v>
      </c>
      <c r="G93" s="136">
        <v>15000</v>
      </c>
      <c r="H93" s="136">
        <v>24300</v>
      </c>
      <c r="I93" s="136">
        <v>150</v>
      </c>
      <c r="J93" t="s">
        <v>80</v>
      </c>
    </row>
    <row r="94" spans="4:10" x14ac:dyDescent="0.25">
      <c r="D94" s="136" t="s">
        <v>12</v>
      </c>
      <c r="E94" s="137">
        <v>15</v>
      </c>
      <c r="F94" s="136">
        <v>125</v>
      </c>
      <c r="G94" s="136">
        <v>15000</v>
      </c>
      <c r="H94" s="136">
        <v>24300</v>
      </c>
      <c r="I94" s="136">
        <v>150</v>
      </c>
      <c r="J94" t="s">
        <v>81</v>
      </c>
    </row>
    <row r="95" spans="4:10" x14ac:dyDescent="0.25">
      <c r="D95" s="136" t="s">
        <v>12</v>
      </c>
      <c r="E95" s="137">
        <v>24</v>
      </c>
      <c r="F95" s="136">
        <v>25</v>
      </c>
      <c r="G95" s="136">
        <v>24000</v>
      </c>
      <c r="H95" s="136">
        <v>38700</v>
      </c>
      <c r="I95" s="136">
        <v>150</v>
      </c>
      <c r="J95" t="s">
        <v>345</v>
      </c>
    </row>
    <row r="96" spans="4:10" x14ac:dyDescent="0.25">
      <c r="D96" s="136" t="s">
        <v>12</v>
      </c>
      <c r="E96" s="137">
        <v>24</v>
      </c>
      <c r="F96" s="136">
        <v>38</v>
      </c>
      <c r="G96" s="136">
        <v>24000</v>
      </c>
      <c r="H96" s="136">
        <v>38400</v>
      </c>
      <c r="I96" s="136">
        <v>150</v>
      </c>
      <c r="J96" t="s">
        <v>346</v>
      </c>
    </row>
    <row r="97" spans="4:10" x14ac:dyDescent="0.25">
      <c r="D97" s="136" t="s">
        <v>12</v>
      </c>
      <c r="E97" s="137">
        <v>24</v>
      </c>
      <c r="F97" s="136">
        <v>50</v>
      </c>
      <c r="G97" s="136">
        <v>24000</v>
      </c>
      <c r="H97" s="136">
        <v>39200</v>
      </c>
      <c r="I97" s="136">
        <v>150</v>
      </c>
      <c r="J97" t="s">
        <v>347</v>
      </c>
    </row>
    <row r="98" spans="4:10" x14ac:dyDescent="0.25">
      <c r="D98" s="136" t="s">
        <v>12</v>
      </c>
      <c r="E98" s="137">
        <v>24</v>
      </c>
      <c r="F98" s="136">
        <v>63</v>
      </c>
      <c r="G98" s="136">
        <v>24000</v>
      </c>
      <c r="H98" s="136">
        <v>39200</v>
      </c>
      <c r="I98" s="136">
        <v>150</v>
      </c>
      <c r="J98" t="s">
        <v>348</v>
      </c>
    </row>
    <row r="99" spans="4:10" x14ac:dyDescent="0.25">
      <c r="D99" s="136" t="s">
        <v>12</v>
      </c>
      <c r="E99" s="137">
        <v>24</v>
      </c>
      <c r="F99" s="136">
        <v>80</v>
      </c>
      <c r="G99" s="136">
        <v>24000</v>
      </c>
      <c r="H99" s="136">
        <v>39200</v>
      </c>
      <c r="I99" s="136">
        <v>150</v>
      </c>
      <c r="J99" t="s">
        <v>349</v>
      </c>
    </row>
    <row r="100" spans="4:10" x14ac:dyDescent="0.25">
      <c r="D100" s="136" t="s">
        <v>12</v>
      </c>
      <c r="E100" s="137">
        <v>24</v>
      </c>
      <c r="F100" s="136">
        <v>100</v>
      </c>
      <c r="G100" s="136">
        <v>24000</v>
      </c>
      <c r="H100" s="136">
        <v>39300</v>
      </c>
      <c r="I100" s="136">
        <v>150</v>
      </c>
      <c r="J100" t="s">
        <v>82</v>
      </c>
    </row>
    <row r="101" spans="4:10" x14ac:dyDescent="0.25">
      <c r="D101" s="136" t="s">
        <v>12</v>
      </c>
      <c r="E101" s="137">
        <v>24</v>
      </c>
      <c r="F101" s="136">
        <v>125</v>
      </c>
      <c r="G101" s="136">
        <v>24000</v>
      </c>
      <c r="H101" s="136">
        <v>39300</v>
      </c>
      <c r="I101" s="136">
        <v>150</v>
      </c>
      <c r="J101" t="s">
        <v>83</v>
      </c>
    </row>
    <row r="102" spans="4:10" x14ac:dyDescent="0.25">
      <c r="D102" s="136" t="s">
        <v>12</v>
      </c>
      <c r="E102" s="137">
        <v>42</v>
      </c>
      <c r="F102" s="136">
        <v>25</v>
      </c>
      <c r="G102" s="136">
        <v>42000</v>
      </c>
      <c r="H102" s="136">
        <v>60800</v>
      </c>
      <c r="I102" s="136">
        <v>150</v>
      </c>
      <c r="J102" t="s">
        <v>350</v>
      </c>
    </row>
    <row r="103" spans="4:10" x14ac:dyDescent="0.25">
      <c r="D103" s="136" t="s">
        <v>12</v>
      </c>
      <c r="E103" s="137">
        <v>42</v>
      </c>
      <c r="F103" s="136">
        <v>38</v>
      </c>
      <c r="G103" s="136">
        <v>42000</v>
      </c>
      <c r="H103" s="136">
        <v>65800</v>
      </c>
      <c r="I103" s="136">
        <v>150</v>
      </c>
      <c r="J103" t="s">
        <v>351</v>
      </c>
    </row>
    <row r="104" spans="4:10" x14ac:dyDescent="0.25">
      <c r="D104" s="136" t="s">
        <v>12</v>
      </c>
      <c r="E104" s="137">
        <v>42</v>
      </c>
      <c r="F104" s="136">
        <v>50</v>
      </c>
      <c r="G104" s="136">
        <v>42000</v>
      </c>
      <c r="H104" s="136">
        <v>67000</v>
      </c>
      <c r="I104" s="136">
        <v>150</v>
      </c>
      <c r="J104" t="s">
        <v>352</v>
      </c>
    </row>
    <row r="105" spans="4:10" x14ac:dyDescent="0.25">
      <c r="D105" s="136" t="s">
        <v>12</v>
      </c>
      <c r="E105" s="137">
        <v>42</v>
      </c>
      <c r="F105" s="136">
        <v>63</v>
      </c>
      <c r="G105" s="136">
        <v>42000</v>
      </c>
      <c r="H105" s="136">
        <v>67800</v>
      </c>
      <c r="I105" s="136">
        <v>150</v>
      </c>
      <c r="J105" t="s">
        <v>353</v>
      </c>
    </row>
    <row r="106" spans="4:10" x14ac:dyDescent="0.25">
      <c r="D106" s="136" t="s">
        <v>12</v>
      </c>
      <c r="E106" s="137">
        <v>42</v>
      </c>
      <c r="F106" s="136">
        <v>80</v>
      </c>
      <c r="G106" s="136">
        <v>42000</v>
      </c>
      <c r="H106" s="136">
        <v>68600</v>
      </c>
      <c r="I106" s="136">
        <v>150</v>
      </c>
      <c r="J106" t="s">
        <v>354</v>
      </c>
    </row>
    <row r="107" spans="4:10" x14ac:dyDescent="0.25">
      <c r="D107" s="136" t="s">
        <v>12</v>
      </c>
      <c r="E107" s="137">
        <v>42</v>
      </c>
      <c r="F107" s="136">
        <v>100</v>
      </c>
      <c r="G107" s="136">
        <v>42000</v>
      </c>
      <c r="H107" s="136">
        <v>69100</v>
      </c>
      <c r="I107" s="136">
        <v>150</v>
      </c>
      <c r="J107" t="s">
        <v>84</v>
      </c>
    </row>
    <row r="108" spans="4:10" x14ac:dyDescent="0.25">
      <c r="D108" s="136" t="s">
        <v>12</v>
      </c>
      <c r="E108" s="137">
        <v>42</v>
      </c>
      <c r="F108" s="136">
        <v>125</v>
      </c>
      <c r="G108" s="136">
        <v>42000</v>
      </c>
      <c r="H108" s="136">
        <v>69600</v>
      </c>
      <c r="I108" s="136">
        <v>150</v>
      </c>
      <c r="J108" t="s">
        <v>85</v>
      </c>
    </row>
    <row r="109" spans="4:10" x14ac:dyDescent="0.25">
      <c r="D109" s="136" t="s">
        <v>12</v>
      </c>
      <c r="E109" s="137">
        <v>66</v>
      </c>
      <c r="F109" s="136">
        <v>25</v>
      </c>
      <c r="G109" s="136">
        <v>66300</v>
      </c>
      <c r="H109" s="136">
        <v>93900</v>
      </c>
      <c r="I109" s="136">
        <v>150</v>
      </c>
      <c r="J109" t="s">
        <v>355</v>
      </c>
    </row>
    <row r="110" spans="4:10" x14ac:dyDescent="0.25">
      <c r="D110" s="136" t="s">
        <v>12</v>
      </c>
      <c r="E110" s="137">
        <v>66</v>
      </c>
      <c r="F110" s="136">
        <v>38</v>
      </c>
      <c r="G110" s="136">
        <v>66300</v>
      </c>
      <c r="H110" s="136">
        <v>98200</v>
      </c>
      <c r="I110" s="136">
        <v>150</v>
      </c>
      <c r="J110" t="s">
        <v>356</v>
      </c>
    </row>
    <row r="111" spans="4:10" x14ac:dyDescent="0.25">
      <c r="D111" s="136" t="s">
        <v>12</v>
      </c>
      <c r="E111" s="137">
        <v>66</v>
      </c>
      <c r="F111" s="136">
        <v>50</v>
      </c>
      <c r="G111" s="136">
        <v>66300</v>
      </c>
      <c r="H111" s="136">
        <v>100600</v>
      </c>
      <c r="I111" s="136">
        <v>150</v>
      </c>
      <c r="J111" t="s">
        <v>357</v>
      </c>
    </row>
    <row r="112" spans="4:10" x14ac:dyDescent="0.25">
      <c r="D112" s="136" t="s">
        <v>12</v>
      </c>
      <c r="E112" s="137">
        <v>66</v>
      </c>
      <c r="F112" s="136">
        <v>63</v>
      </c>
      <c r="G112" s="136">
        <v>66300</v>
      </c>
      <c r="H112" s="136">
        <v>102400</v>
      </c>
      <c r="I112" s="136">
        <v>150</v>
      </c>
      <c r="J112" t="s">
        <v>358</v>
      </c>
    </row>
    <row r="113" spans="4:10" x14ac:dyDescent="0.25">
      <c r="D113" s="136" t="s">
        <v>12</v>
      </c>
      <c r="E113" s="137">
        <v>66</v>
      </c>
      <c r="F113" s="136">
        <v>80</v>
      </c>
      <c r="G113" s="136">
        <v>66300</v>
      </c>
      <c r="H113" s="136">
        <v>104100</v>
      </c>
      <c r="I113" s="136">
        <v>150</v>
      </c>
      <c r="J113" t="s">
        <v>359</v>
      </c>
    </row>
    <row r="114" spans="4:10" x14ac:dyDescent="0.25">
      <c r="D114" s="136" t="s">
        <v>12</v>
      </c>
      <c r="E114" s="137">
        <v>66</v>
      </c>
      <c r="F114" s="136">
        <v>100</v>
      </c>
      <c r="G114" s="136">
        <v>66300</v>
      </c>
      <c r="H114" s="136">
        <v>105400</v>
      </c>
      <c r="I114" s="136">
        <v>150</v>
      </c>
      <c r="J114" t="s">
        <v>86</v>
      </c>
    </row>
    <row r="115" spans="4:10" x14ac:dyDescent="0.25">
      <c r="D115" s="136" t="s">
        <v>12</v>
      </c>
      <c r="E115" s="137">
        <v>66</v>
      </c>
      <c r="F115" s="136">
        <v>125</v>
      </c>
      <c r="G115" s="136">
        <v>66300</v>
      </c>
      <c r="H115" s="136">
        <v>106500</v>
      </c>
      <c r="I115" s="136">
        <v>150</v>
      </c>
      <c r="J115" t="s">
        <v>87</v>
      </c>
    </row>
    <row r="116" spans="4:10" x14ac:dyDescent="0.25">
      <c r="D116" s="136" t="s">
        <v>12</v>
      </c>
      <c r="E116" s="137">
        <v>95</v>
      </c>
      <c r="F116" s="136">
        <v>25</v>
      </c>
      <c r="G116" s="136">
        <v>95000</v>
      </c>
      <c r="H116" s="136">
        <v>139000</v>
      </c>
      <c r="I116" s="136">
        <v>150</v>
      </c>
      <c r="J116" t="s">
        <v>360</v>
      </c>
    </row>
    <row r="117" spans="4:10" x14ac:dyDescent="0.25">
      <c r="D117" s="136" t="s">
        <v>12</v>
      </c>
      <c r="E117" s="137">
        <v>95</v>
      </c>
      <c r="F117" s="136">
        <v>38</v>
      </c>
      <c r="G117" s="136">
        <v>95000</v>
      </c>
      <c r="H117" s="136">
        <v>143000</v>
      </c>
      <c r="I117" s="136">
        <v>150</v>
      </c>
      <c r="J117" t="s">
        <v>361</v>
      </c>
    </row>
    <row r="118" spans="4:10" x14ac:dyDescent="0.25">
      <c r="D118" s="136" t="s">
        <v>12</v>
      </c>
      <c r="E118" s="137">
        <v>95</v>
      </c>
      <c r="F118" s="136">
        <v>50</v>
      </c>
      <c r="G118" s="136">
        <v>95000</v>
      </c>
      <c r="H118" s="136">
        <v>146000</v>
      </c>
      <c r="I118" s="136">
        <v>150</v>
      </c>
      <c r="J118" t="s">
        <v>362</v>
      </c>
    </row>
    <row r="119" spans="4:10" x14ac:dyDescent="0.25">
      <c r="D119" s="136" t="s">
        <v>12</v>
      </c>
      <c r="E119" s="137">
        <v>95</v>
      </c>
      <c r="F119" s="136">
        <v>63</v>
      </c>
      <c r="G119" s="136">
        <v>95000</v>
      </c>
      <c r="H119" s="136">
        <v>148000</v>
      </c>
      <c r="I119" s="136">
        <v>150</v>
      </c>
      <c r="J119" t="s">
        <v>363</v>
      </c>
    </row>
    <row r="120" spans="4:10" x14ac:dyDescent="0.25">
      <c r="D120" s="136" t="s">
        <v>12</v>
      </c>
      <c r="E120" s="137">
        <v>95</v>
      </c>
      <c r="F120" s="136">
        <v>80</v>
      </c>
      <c r="G120" s="136">
        <v>95000</v>
      </c>
      <c r="H120" s="136">
        <v>150000</v>
      </c>
      <c r="I120" s="136">
        <v>150</v>
      </c>
      <c r="J120" t="s">
        <v>364</v>
      </c>
    </row>
    <row r="121" spans="4:10" x14ac:dyDescent="0.25">
      <c r="D121" s="136" t="s">
        <v>12</v>
      </c>
      <c r="E121" s="137">
        <v>95</v>
      </c>
      <c r="F121" s="136">
        <v>100</v>
      </c>
      <c r="G121" s="136">
        <v>95000</v>
      </c>
      <c r="H121" s="136">
        <v>151000</v>
      </c>
      <c r="I121" s="136">
        <v>150</v>
      </c>
      <c r="J121" t="s">
        <v>88</v>
      </c>
    </row>
    <row r="122" spans="4:10" x14ac:dyDescent="0.25">
      <c r="D122" s="136" t="s">
        <v>12</v>
      </c>
      <c r="E122" s="137">
        <v>95</v>
      </c>
      <c r="F122" s="136">
        <v>125</v>
      </c>
      <c r="G122" s="136">
        <v>95000</v>
      </c>
      <c r="H122" s="136">
        <v>152000</v>
      </c>
      <c r="I122" s="136">
        <v>150</v>
      </c>
      <c r="J122" t="s">
        <v>89</v>
      </c>
    </row>
    <row r="123" spans="4:10" x14ac:dyDescent="0.25">
      <c r="E123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J190"/>
  <sheetViews>
    <sheetView workbookViewId="0"/>
  </sheetViews>
  <sheetFormatPr defaultRowHeight="15" x14ac:dyDescent="0.25"/>
  <cols>
    <col min="3" max="3" width="19.140625" customWidth="1"/>
    <col min="9" max="9" width="11.5703125" customWidth="1"/>
    <col min="10" max="10" width="18.140625" customWidth="1"/>
  </cols>
  <sheetData>
    <row r="1" spans="1:10" x14ac:dyDescent="0.25">
      <c r="A1" t="s">
        <v>278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s="3" t="s">
        <v>171</v>
      </c>
      <c r="J1" s="3" t="s">
        <v>280</v>
      </c>
    </row>
    <row r="2" spans="1:10" x14ac:dyDescent="0.25">
      <c r="D2" s="136" t="s">
        <v>373</v>
      </c>
      <c r="E2" s="136">
        <v>1.5</v>
      </c>
      <c r="F2" s="136">
        <v>10</v>
      </c>
      <c r="G2" s="136">
        <v>2000</v>
      </c>
      <c r="H2" s="136">
        <v>3060</v>
      </c>
      <c r="I2" s="136">
        <v>180</v>
      </c>
      <c r="J2" s="3" t="s">
        <v>422</v>
      </c>
    </row>
    <row r="3" spans="1:10" x14ac:dyDescent="0.25">
      <c r="D3" s="136" t="s">
        <v>373</v>
      </c>
      <c r="E3" s="136">
        <v>1.5</v>
      </c>
      <c r="F3" s="136">
        <v>16</v>
      </c>
      <c r="G3" s="136">
        <v>2000</v>
      </c>
      <c r="H3" s="136">
        <v>3070</v>
      </c>
      <c r="I3" s="136">
        <v>180</v>
      </c>
      <c r="J3" s="3" t="s">
        <v>423</v>
      </c>
    </row>
    <row r="4" spans="1:10" x14ac:dyDescent="0.25">
      <c r="D4" s="136" t="s">
        <v>373</v>
      </c>
      <c r="E4" s="136">
        <v>1.5</v>
      </c>
      <c r="F4" s="136">
        <v>25</v>
      </c>
      <c r="G4" s="136">
        <v>2000</v>
      </c>
      <c r="H4" s="136">
        <v>3080</v>
      </c>
      <c r="I4" s="136">
        <v>180</v>
      </c>
      <c r="J4" s="3" t="s">
        <v>424</v>
      </c>
    </row>
    <row r="5" spans="1:10" x14ac:dyDescent="0.25">
      <c r="D5" s="136" t="s">
        <v>373</v>
      </c>
      <c r="E5" s="136">
        <v>1.5</v>
      </c>
      <c r="F5" s="136">
        <v>50</v>
      </c>
      <c r="G5" s="136">
        <v>2000</v>
      </c>
      <c r="H5" s="136">
        <v>3090</v>
      </c>
      <c r="I5" s="136">
        <v>180</v>
      </c>
      <c r="J5" s="3" t="s">
        <v>425</v>
      </c>
    </row>
    <row r="6" spans="1:10" x14ac:dyDescent="0.25">
      <c r="D6" s="136" t="s">
        <v>373</v>
      </c>
      <c r="E6" s="136">
        <v>1.5</v>
      </c>
      <c r="F6" s="136">
        <v>80</v>
      </c>
      <c r="G6" s="136">
        <v>2000</v>
      </c>
      <c r="H6" s="136">
        <v>3040</v>
      </c>
      <c r="I6" s="136">
        <v>180</v>
      </c>
      <c r="J6" s="3" t="s">
        <v>426</v>
      </c>
    </row>
    <row r="7" spans="1:10" x14ac:dyDescent="0.25">
      <c r="D7" s="136" t="s">
        <v>373</v>
      </c>
      <c r="E7" s="136">
        <v>1.5</v>
      </c>
      <c r="F7" s="136">
        <v>100</v>
      </c>
      <c r="G7" s="136">
        <v>2000</v>
      </c>
      <c r="H7" s="136">
        <v>3050</v>
      </c>
      <c r="I7" s="136">
        <v>180</v>
      </c>
      <c r="J7" s="3" t="s">
        <v>427</v>
      </c>
    </row>
    <row r="8" spans="1:10" x14ac:dyDescent="0.25">
      <c r="D8" s="136" t="s">
        <v>373</v>
      </c>
      <c r="E8" s="136">
        <v>1.5</v>
      </c>
      <c r="F8" s="136">
        <v>125</v>
      </c>
      <c r="G8" s="136">
        <v>2000</v>
      </c>
      <c r="H8" s="136">
        <v>3060</v>
      </c>
      <c r="I8" s="136">
        <v>180</v>
      </c>
      <c r="J8" s="3" t="s">
        <v>428</v>
      </c>
    </row>
    <row r="9" spans="1:10" x14ac:dyDescent="0.25">
      <c r="D9" s="136" t="s">
        <v>373</v>
      </c>
      <c r="E9" s="136">
        <v>2.5</v>
      </c>
      <c r="F9" s="136">
        <v>10</v>
      </c>
      <c r="G9" s="136">
        <v>2650</v>
      </c>
      <c r="H9" s="136">
        <v>3500</v>
      </c>
      <c r="I9" s="136">
        <v>150</v>
      </c>
      <c r="J9" t="s">
        <v>366</v>
      </c>
    </row>
    <row r="10" spans="1:10" x14ac:dyDescent="0.25">
      <c r="D10" s="136" t="s">
        <v>373</v>
      </c>
      <c r="E10" s="136">
        <v>2.5</v>
      </c>
      <c r="F10" s="136">
        <v>16</v>
      </c>
      <c r="G10" s="136">
        <v>2650</v>
      </c>
      <c r="H10" s="136">
        <v>3500</v>
      </c>
      <c r="I10" s="136">
        <v>150</v>
      </c>
      <c r="J10" t="s">
        <v>283</v>
      </c>
    </row>
    <row r="11" spans="1:10" x14ac:dyDescent="0.25">
      <c r="D11" s="136" t="s">
        <v>373</v>
      </c>
      <c r="E11" s="136">
        <v>2.5</v>
      </c>
      <c r="F11" s="136">
        <v>25</v>
      </c>
      <c r="G11" s="136">
        <v>2650</v>
      </c>
      <c r="H11" s="136">
        <v>3500</v>
      </c>
      <c r="I11" s="136">
        <v>150</v>
      </c>
      <c r="J11" t="s">
        <v>284</v>
      </c>
    </row>
    <row r="12" spans="1:10" x14ac:dyDescent="0.25">
      <c r="D12" s="136" t="s">
        <v>373</v>
      </c>
      <c r="E12" s="136">
        <v>2.5</v>
      </c>
      <c r="F12" s="136">
        <v>50</v>
      </c>
      <c r="G12" s="136">
        <v>2650</v>
      </c>
      <c r="H12" s="136">
        <v>3500</v>
      </c>
      <c r="I12" s="136">
        <v>150</v>
      </c>
      <c r="J12" t="s">
        <v>286</v>
      </c>
    </row>
    <row r="13" spans="1:10" x14ac:dyDescent="0.25">
      <c r="D13" s="136" t="s">
        <v>373</v>
      </c>
      <c r="E13" s="136">
        <v>2.5</v>
      </c>
      <c r="F13" s="136">
        <v>80</v>
      </c>
      <c r="G13" s="136">
        <v>2650</v>
      </c>
      <c r="H13" s="136">
        <v>3500</v>
      </c>
      <c r="I13" s="136">
        <v>150</v>
      </c>
      <c r="J13" t="s">
        <v>288</v>
      </c>
    </row>
    <row r="14" spans="1:10" x14ac:dyDescent="0.25">
      <c r="D14" s="136" t="s">
        <v>373</v>
      </c>
      <c r="E14" s="136">
        <v>2.5</v>
      </c>
      <c r="F14" s="136">
        <v>100</v>
      </c>
      <c r="G14" s="136">
        <v>2650</v>
      </c>
      <c r="H14" s="136">
        <v>3500</v>
      </c>
      <c r="I14" s="136">
        <v>150</v>
      </c>
      <c r="J14" t="s">
        <v>90</v>
      </c>
    </row>
    <row r="15" spans="1:10" x14ac:dyDescent="0.25">
      <c r="D15" s="136" t="s">
        <v>373</v>
      </c>
      <c r="E15" s="136">
        <v>2.5</v>
      </c>
      <c r="F15" s="136">
        <v>125</v>
      </c>
      <c r="G15" s="136">
        <v>2650</v>
      </c>
      <c r="H15" s="136">
        <v>3500</v>
      </c>
      <c r="I15" s="136">
        <v>150</v>
      </c>
      <c r="J15" t="s">
        <v>129</v>
      </c>
    </row>
    <row r="16" spans="1:10" x14ac:dyDescent="0.25">
      <c r="D16" s="136" t="s">
        <v>373</v>
      </c>
      <c r="E16" s="136">
        <v>5</v>
      </c>
      <c r="F16" s="136">
        <v>25</v>
      </c>
      <c r="G16" s="136">
        <v>4700</v>
      </c>
      <c r="H16" s="136">
        <v>6400</v>
      </c>
      <c r="I16" s="136">
        <v>150</v>
      </c>
      <c r="J16" t="s">
        <v>367</v>
      </c>
    </row>
    <row r="17" spans="4:10" x14ac:dyDescent="0.25">
      <c r="D17" s="136" t="s">
        <v>373</v>
      </c>
      <c r="E17" s="136">
        <v>5</v>
      </c>
      <c r="F17" s="136">
        <v>50</v>
      </c>
      <c r="G17" s="136">
        <v>4700</v>
      </c>
      <c r="H17" s="136">
        <v>6600</v>
      </c>
      <c r="I17" s="136">
        <v>150</v>
      </c>
      <c r="J17" t="s">
        <v>368</v>
      </c>
    </row>
    <row r="18" spans="4:10" x14ac:dyDescent="0.25">
      <c r="D18" s="136" t="s">
        <v>373</v>
      </c>
      <c r="E18" s="136">
        <v>5</v>
      </c>
      <c r="F18" s="136">
        <v>80</v>
      </c>
      <c r="G18" s="136">
        <v>4700</v>
      </c>
      <c r="H18" s="136">
        <v>6700</v>
      </c>
      <c r="I18" s="136">
        <v>150</v>
      </c>
      <c r="J18" t="s">
        <v>369</v>
      </c>
    </row>
    <row r="19" spans="4:10" x14ac:dyDescent="0.25">
      <c r="D19" s="136" t="s">
        <v>373</v>
      </c>
      <c r="E19" s="136">
        <v>5</v>
      </c>
      <c r="F19" s="136">
        <v>100</v>
      </c>
      <c r="G19" s="136">
        <v>4700</v>
      </c>
      <c r="H19" s="136">
        <v>6700</v>
      </c>
      <c r="I19" s="136">
        <v>150</v>
      </c>
      <c r="J19" t="s">
        <v>91</v>
      </c>
    </row>
    <row r="20" spans="4:10" x14ac:dyDescent="0.25">
      <c r="D20" s="136" t="s">
        <v>373</v>
      </c>
      <c r="E20" s="136">
        <v>5</v>
      </c>
      <c r="F20" s="136">
        <v>125</v>
      </c>
      <c r="G20" s="136">
        <v>4700</v>
      </c>
      <c r="H20" s="136">
        <v>6700</v>
      </c>
      <c r="I20" s="136">
        <v>150</v>
      </c>
      <c r="J20" t="s">
        <v>131</v>
      </c>
    </row>
    <row r="21" spans="4:10" x14ac:dyDescent="0.25">
      <c r="D21" s="136" t="s">
        <v>373</v>
      </c>
      <c r="E21" s="136">
        <v>5</v>
      </c>
      <c r="F21" s="136">
        <v>160</v>
      </c>
      <c r="G21" s="136">
        <v>4700</v>
      </c>
      <c r="H21" s="136">
        <v>6700</v>
      </c>
      <c r="I21" s="136">
        <v>150</v>
      </c>
      <c r="J21" t="s">
        <v>132</v>
      </c>
    </row>
    <row r="22" spans="4:10" x14ac:dyDescent="0.25">
      <c r="D22" s="136" t="s">
        <v>373</v>
      </c>
      <c r="E22" s="136">
        <v>7.5</v>
      </c>
      <c r="F22" s="136">
        <v>25</v>
      </c>
      <c r="G22" s="136">
        <v>7400</v>
      </c>
      <c r="H22" s="136">
        <v>12000</v>
      </c>
      <c r="I22" s="136">
        <v>150</v>
      </c>
      <c r="J22" t="s">
        <v>289</v>
      </c>
    </row>
    <row r="23" spans="4:10" x14ac:dyDescent="0.25">
      <c r="D23" s="136" t="s">
        <v>373</v>
      </c>
      <c r="E23" s="136">
        <v>7.5</v>
      </c>
      <c r="F23" s="136">
        <v>50</v>
      </c>
      <c r="G23" s="136">
        <v>7400</v>
      </c>
      <c r="H23" s="136">
        <v>12000</v>
      </c>
      <c r="I23" s="136">
        <v>150</v>
      </c>
      <c r="J23" t="s">
        <v>291</v>
      </c>
    </row>
    <row r="24" spans="4:10" x14ac:dyDescent="0.25">
      <c r="D24" s="136" t="s">
        <v>373</v>
      </c>
      <c r="E24" s="136">
        <v>7.5</v>
      </c>
      <c r="F24" s="136">
        <v>80</v>
      </c>
      <c r="G24" s="136">
        <v>7400</v>
      </c>
      <c r="H24" s="136">
        <v>12000</v>
      </c>
      <c r="I24" s="136">
        <v>150</v>
      </c>
      <c r="J24" t="s">
        <v>293</v>
      </c>
    </row>
    <row r="25" spans="4:10" x14ac:dyDescent="0.25">
      <c r="D25" s="136" t="s">
        <v>373</v>
      </c>
      <c r="E25" s="136">
        <v>7.5</v>
      </c>
      <c r="F25" s="136">
        <v>100</v>
      </c>
      <c r="G25" s="136">
        <v>7400</v>
      </c>
      <c r="H25" s="136">
        <v>12000</v>
      </c>
      <c r="I25" s="136">
        <v>150</v>
      </c>
      <c r="J25" t="s">
        <v>92</v>
      </c>
    </row>
    <row r="26" spans="4:10" x14ac:dyDescent="0.25">
      <c r="D26" s="136" t="s">
        <v>373</v>
      </c>
      <c r="E26" s="136">
        <v>7.5</v>
      </c>
      <c r="F26" s="136">
        <v>125</v>
      </c>
      <c r="G26" s="136">
        <v>7400</v>
      </c>
      <c r="H26" s="136">
        <v>12100</v>
      </c>
      <c r="I26" s="136">
        <v>150</v>
      </c>
      <c r="J26" t="s">
        <v>93</v>
      </c>
    </row>
    <row r="27" spans="4:10" x14ac:dyDescent="0.25">
      <c r="D27" s="136" t="s">
        <v>373</v>
      </c>
      <c r="E27" s="136">
        <v>7.5</v>
      </c>
      <c r="F27" s="136">
        <v>160</v>
      </c>
      <c r="G27" s="136">
        <v>7400</v>
      </c>
      <c r="H27" s="136">
        <v>12100</v>
      </c>
      <c r="I27" s="136">
        <v>150</v>
      </c>
      <c r="J27" t="s">
        <v>94</v>
      </c>
    </row>
    <row r="28" spans="4:10" x14ac:dyDescent="0.25">
      <c r="D28" s="136" t="s">
        <v>373</v>
      </c>
      <c r="E28" s="136">
        <v>7.5</v>
      </c>
      <c r="F28" s="136">
        <v>200</v>
      </c>
      <c r="G28" s="136">
        <v>7400</v>
      </c>
      <c r="H28" s="136">
        <v>12100</v>
      </c>
      <c r="I28" s="136">
        <v>150</v>
      </c>
      <c r="J28" t="s">
        <v>95</v>
      </c>
    </row>
    <row r="29" spans="4:10" x14ac:dyDescent="0.25">
      <c r="D29" s="136" t="s">
        <v>373</v>
      </c>
      <c r="E29" s="136">
        <v>7.5</v>
      </c>
      <c r="F29" s="136">
        <v>250</v>
      </c>
      <c r="G29" s="136">
        <v>7400</v>
      </c>
      <c r="H29" s="136">
        <v>12100</v>
      </c>
      <c r="I29" s="136">
        <v>150</v>
      </c>
      <c r="J29" t="s">
        <v>96</v>
      </c>
    </row>
    <row r="30" spans="4:10" x14ac:dyDescent="0.25">
      <c r="D30" s="136" t="s">
        <v>373</v>
      </c>
      <c r="E30" s="136">
        <v>7.5</v>
      </c>
      <c r="F30" s="136">
        <v>300</v>
      </c>
      <c r="G30" s="136">
        <v>7400</v>
      </c>
      <c r="H30" s="136">
        <v>12100</v>
      </c>
      <c r="I30" s="136">
        <v>150</v>
      </c>
      <c r="J30" t="s">
        <v>97</v>
      </c>
    </row>
    <row r="31" spans="4:10" x14ac:dyDescent="0.25">
      <c r="D31" s="136" t="s">
        <v>373</v>
      </c>
      <c r="E31" s="136">
        <v>15</v>
      </c>
      <c r="F31" s="136">
        <v>25</v>
      </c>
      <c r="G31" s="136">
        <v>15000</v>
      </c>
      <c r="H31" s="136">
        <v>23000</v>
      </c>
      <c r="I31" s="136">
        <v>150</v>
      </c>
      <c r="J31" t="s">
        <v>295</v>
      </c>
    </row>
    <row r="32" spans="4:10" x14ac:dyDescent="0.25">
      <c r="D32" s="136" t="s">
        <v>373</v>
      </c>
      <c r="E32" s="136">
        <v>15</v>
      </c>
      <c r="F32" s="136">
        <v>50</v>
      </c>
      <c r="G32" s="136">
        <v>15000</v>
      </c>
      <c r="H32" s="136">
        <v>23000</v>
      </c>
      <c r="I32" s="136">
        <v>150</v>
      </c>
      <c r="J32" t="s">
        <v>297</v>
      </c>
    </row>
    <row r="33" spans="4:10" x14ac:dyDescent="0.25">
      <c r="D33" s="136" t="s">
        <v>373</v>
      </c>
      <c r="E33" s="136">
        <v>15</v>
      </c>
      <c r="F33" s="136">
        <v>80</v>
      </c>
      <c r="G33" s="136">
        <v>15000</v>
      </c>
      <c r="H33" s="136">
        <v>23000</v>
      </c>
      <c r="I33" s="136">
        <v>150</v>
      </c>
      <c r="J33" t="s">
        <v>299</v>
      </c>
    </row>
    <row r="34" spans="4:10" x14ac:dyDescent="0.25">
      <c r="D34" s="136" t="s">
        <v>373</v>
      </c>
      <c r="E34" s="136">
        <v>15</v>
      </c>
      <c r="F34" s="136">
        <v>100</v>
      </c>
      <c r="G34" s="136">
        <v>15000</v>
      </c>
      <c r="H34" s="136">
        <v>23000</v>
      </c>
      <c r="I34" s="136">
        <v>150</v>
      </c>
      <c r="J34" t="s">
        <v>98</v>
      </c>
    </row>
    <row r="35" spans="4:10" x14ac:dyDescent="0.25">
      <c r="D35" s="136" t="s">
        <v>373</v>
      </c>
      <c r="E35" s="136">
        <v>15</v>
      </c>
      <c r="F35" s="136">
        <v>125</v>
      </c>
      <c r="G35" s="136">
        <v>15000</v>
      </c>
      <c r="H35" s="136">
        <v>23000</v>
      </c>
      <c r="I35" s="136">
        <v>150</v>
      </c>
      <c r="J35" t="s">
        <v>99</v>
      </c>
    </row>
    <row r="36" spans="4:10" x14ac:dyDescent="0.25">
      <c r="D36" s="136" t="s">
        <v>373</v>
      </c>
      <c r="E36" s="136">
        <v>15</v>
      </c>
      <c r="F36" s="136">
        <v>160</v>
      </c>
      <c r="G36" s="136">
        <v>15000</v>
      </c>
      <c r="H36" s="136">
        <v>23000</v>
      </c>
      <c r="I36" s="136">
        <v>150</v>
      </c>
      <c r="J36" t="s">
        <v>100</v>
      </c>
    </row>
    <row r="37" spans="4:10" x14ac:dyDescent="0.25">
      <c r="D37" s="136" t="s">
        <v>373</v>
      </c>
      <c r="E37" s="136">
        <v>15</v>
      </c>
      <c r="F37" s="136">
        <v>200</v>
      </c>
      <c r="G37" s="136">
        <v>15000</v>
      </c>
      <c r="H37" s="136">
        <v>23000</v>
      </c>
      <c r="I37" s="136">
        <v>150</v>
      </c>
      <c r="J37" t="s">
        <v>101</v>
      </c>
    </row>
    <row r="38" spans="4:10" x14ac:dyDescent="0.25">
      <c r="D38" s="136" t="s">
        <v>373</v>
      </c>
      <c r="E38" s="136">
        <v>15</v>
      </c>
      <c r="F38" s="136">
        <v>250</v>
      </c>
      <c r="G38" s="136">
        <v>15000</v>
      </c>
      <c r="H38" s="136">
        <v>23000</v>
      </c>
      <c r="I38" s="136">
        <v>150</v>
      </c>
      <c r="J38" t="s">
        <v>102</v>
      </c>
    </row>
    <row r="39" spans="4:10" x14ac:dyDescent="0.25">
      <c r="D39" s="136" t="s">
        <v>373</v>
      </c>
      <c r="E39" s="136">
        <v>15</v>
      </c>
      <c r="F39" s="136">
        <v>300</v>
      </c>
      <c r="G39" s="136">
        <v>15000</v>
      </c>
      <c r="H39" s="136">
        <v>23000</v>
      </c>
      <c r="I39" s="136">
        <v>150</v>
      </c>
      <c r="J39" t="s">
        <v>103</v>
      </c>
    </row>
    <row r="40" spans="4:10" x14ac:dyDescent="0.25">
      <c r="D40" s="136" t="s">
        <v>373</v>
      </c>
      <c r="E40" s="136">
        <v>30</v>
      </c>
      <c r="F40" s="136">
        <v>25</v>
      </c>
      <c r="G40" s="136">
        <v>30000</v>
      </c>
      <c r="H40" s="136">
        <v>42000</v>
      </c>
      <c r="I40" s="136">
        <v>150</v>
      </c>
      <c r="J40" t="s">
        <v>302</v>
      </c>
    </row>
    <row r="41" spans="4:10" x14ac:dyDescent="0.25">
      <c r="D41" s="136" t="s">
        <v>373</v>
      </c>
      <c r="E41" s="136">
        <v>30</v>
      </c>
      <c r="F41" s="136">
        <v>50</v>
      </c>
      <c r="G41" s="136">
        <v>30000</v>
      </c>
      <c r="H41" s="136">
        <v>44000</v>
      </c>
      <c r="I41" s="136">
        <v>150</v>
      </c>
      <c r="J41" t="s">
        <v>304</v>
      </c>
    </row>
    <row r="42" spans="4:10" x14ac:dyDescent="0.25">
      <c r="D42" s="136" t="s">
        <v>373</v>
      </c>
      <c r="E42" s="136">
        <v>30</v>
      </c>
      <c r="F42" s="136">
        <v>80</v>
      </c>
      <c r="G42" s="136">
        <v>30000</v>
      </c>
      <c r="H42" s="136">
        <v>46000</v>
      </c>
      <c r="I42" s="136">
        <v>150</v>
      </c>
      <c r="J42" t="s">
        <v>306</v>
      </c>
    </row>
    <row r="43" spans="4:10" x14ac:dyDescent="0.25">
      <c r="D43" s="136" t="s">
        <v>373</v>
      </c>
      <c r="E43" s="136">
        <v>30</v>
      </c>
      <c r="F43" s="136">
        <v>100</v>
      </c>
      <c r="G43" s="136">
        <v>30000</v>
      </c>
      <c r="H43" s="136">
        <v>47000</v>
      </c>
      <c r="I43" s="136">
        <v>150</v>
      </c>
      <c r="J43" t="s">
        <v>104</v>
      </c>
    </row>
    <row r="44" spans="4:10" x14ac:dyDescent="0.25">
      <c r="D44" s="136" t="s">
        <v>373</v>
      </c>
      <c r="E44" s="136">
        <v>30</v>
      </c>
      <c r="F44" s="136">
        <v>125</v>
      </c>
      <c r="G44" s="136">
        <v>30000</v>
      </c>
      <c r="H44" s="136">
        <v>47000</v>
      </c>
      <c r="I44" s="136">
        <v>150</v>
      </c>
      <c r="J44" t="s">
        <v>105</v>
      </c>
    </row>
    <row r="45" spans="4:10" x14ac:dyDescent="0.25">
      <c r="D45" s="136" t="s">
        <v>373</v>
      </c>
      <c r="E45" s="136">
        <v>30</v>
      </c>
      <c r="F45" s="136">
        <v>160</v>
      </c>
      <c r="G45" s="136">
        <v>30000</v>
      </c>
      <c r="H45" s="136">
        <v>47000</v>
      </c>
      <c r="I45" s="136">
        <v>150</v>
      </c>
      <c r="J45" t="s">
        <v>106</v>
      </c>
    </row>
    <row r="46" spans="4:10" x14ac:dyDescent="0.25">
      <c r="D46" s="136" t="s">
        <v>373</v>
      </c>
      <c r="E46" s="136">
        <v>30</v>
      </c>
      <c r="F46" s="136">
        <v>200</v>
      </c>
      <c r="G46" s="136">
        <v>30000</v>
      </c>
      <c r="H46" s="136">
        <v>48000</v>
      </c>
      <c r="I46" s="136">
        <v>150</v>
      </c>
      <c r="J46" t="s">
        <v>107</v>
      </c>
    </row>
    <row r="47" spans="4:10" x14ac:dyDescent="0.25">
      <c r="D47" s="136" t="s">
        <v>373</v>
      </c>
      <c r="E47" s="136">
        <v>30</v>
      </c>
      <c r="F47" s="136">
        <v>250</v>
      </c>
      <c r="G47" s="136">
        <v>30000</v>
      </c>
      <c r="H47" s="136">
        <v>48000</v>
      </c>
      <c r="I47" s="136">
        <v>150</v>
      </c>
      <c r="J47" t="s">
        <v>108</v>
      </c>
    </row>
    <row r="48" spans="4:10" x14ac:dyDescent="0.25">
      <c r="D48" s="136" t="s">
        <v>373</v>
      </c>
      <c r="E48" s="136">
        <v>30</v>
      </c>
      <c r="F48" s="136">
        <v>300</v>
      </c>
      <c r="G48" s="136">
        <v>30000</v>
      </c>
      <c r="H48" s="136">
        <v>48000</v>
      </c>
      <c r="I48" s="136">
        <v>150</v>
      </c>
      <c r="J48" t="s">
        <v>109</v>
      </c>
    </row>
    <row r="49" spans="4:10" x14ac:dyDescent="0.25">
      <c r="D49" s="136" t="s">
        <v>373</v>
      </c>
      <c r="E49" s="136">
        <v>50</v>
      </c>
      <c r="F49" s="136">
        <v>25</v>
      </c>
      <c r="G49" s="136">
        <v>50000</v>
      </c>
      <c r="H49" s="136">
        <v>71000</v>
      </c>
      <c r="I49" s="136">
        <v>150</v>
      </c>
      <c r="J49" t="s">
        <v>308</v>
      </c>
    </row>
    <row r="50" spans="4:10" x14ac:dyDescent="0.25">
      <c r="D50" s="136" t="s">
        <v>373</v>
      </c>
      <c r="E50" s="136">
        <v>50</v>
      </c>
      <c r="F50" s="136">
        <v>50</v>
      </c>
      <c r="G50" s="136">
        <v>50000</v>
      </c>
      <c r="H50" s="136">
        <v>77000</v>
      </c>
      <c r="I50" s="136">
        <v>150</v>
      </c>
      <c r="J50" t="s">
        <v>310</v>
      </c>
    </row>
    <row r="51" spans="4:10" x14ac:dyDescent="0.25">
      <c r="D51" s="136" t="s">
        <v>373</v>
      </c>
      <c r="E51" s="136">
        <v>50</v>
      </c>
      <c r="F51" s="136">
        <v>80</v>
      </c>
      <c r="G51" s="136">
        <v>50000</v>
      </c>
      <c r="H51" s="136">
        <v>81000</v>
      </c>
      <c r="I51" s="136">
        <v>150</v>
      </c>
      <c r="J51" t="s">
        <v>312</v>
      </c>
    </row>
    <row r="52" spans="4:10" x14ac:dyDescent="0.25">
      <c r="D52" s="136" t="s">
        <v>373</v>
      </c>
      <c r="E52" s="136">
        <v>50</v>
      </c>
      <c r="F52" s="136">
        <v>100</v>
      </c>
      <c r="G52" s="136">
        <v>50000</v>
      </c>
      <c r="H52" s="136">
        <v>82000</v>
      </c>
      <c r="I52" s="136">
        <v>150</v>
      </c>
      <c r="J52" t="s">
        <v>110</v>
      </c>
    </row>
    <row r="53" spans="4:10" x14ac:dyDescent="0.25">
      <c r="D53" s="136" t="s">
        <v>373</v>
      </c>
      <c r="E53" s="136">
        <v>50</v>
      </c>
      <c r="F53" s="136">
        <v>125</v>
      </c>
      <c r="G53" s="136">
        <v>50000</v>
      </c>
      <c r="H53" s="136">
        <v>82000</v>
      </c>
      <c r="I53" s="136">
        <v>150</v>
      </c>
      <c r="J53" t="s">
        <v>111</v>
      </c>
    </row>
    <row r="54" spans="4:10" x14ac:dyDescent="0.25">
      <c r="D54" s="136" t="s">
        <v>373</v>
      </c>
      <c r="E54" s="136">
        <v>50</v>
      </c>
      <c r="F54" s="136">
        <v>160</v>
      </c>
      <c r="G54" s="136">
        <v>50000</v>
      </c>
      <c r="H54" s="136">
        <v>83000</v>
      </c>
      <c r="I54" s="136">
        <v>150</v>
      </c>
      <c r="J54" t="s">
        <v>112</v>
      </c>
    </row>
    <row r="55" spans="4:10" x14ac:dyDescent="0.25">
      <c r="D55" s="136" t="s">
        <v>373</v>
      </c>
      <c r="E55" s="136">
        <v>50</v>
      </c>
      <c r="F55" s="136">
        <v>200</v>
      </c>
      <c r="G55" s="136">
        <v>50000</v>
      </c>
      <c r="H55" s="136">
        <v>84000</v>
      </c>
      <c r="I55" s="136">
        <v>150</v>
      </c>
      <c r="J55" t="s">
        <v>113</v>
      </c>
    </row>
    <row r="56" spans="4:10" x14ac:dyDescent="0.25">
      <c r="D56" s="136" t="s">
        <v>373</v>
      </c>
      <c r="E56" s="136">
        <v>50</v>
      </c>
      <c r="F56" s="136">
        <v>250</v>
      </c>
      <c r="G56" s="136">
        <v>50000</v>
      </c>
      <c r="H56" s="136">
        <v>84000</v>
      </c>
      <c r="I56" s="136">
        <v>150</v>
      </c>
      <c r="J56" t="s">
        <v>114</v>
      </c>
    </row>
    <row r="57" spans="4:10" x14ac:dyDescent="0.25">
      <c r="D57" s="136" t="s">
        <v>373</v>
      </c>
      <c r="E57" s="136">
        <v>50</v>
      </c>
      <c r="F57" s="136">
        <v>300</v>
      </c>
      <c r="G57" s="136">
        <v>50000</v>
      </c>
      <c r="H57" s="136">
        <v>84000</v>
      </c>
      <c r="I57" s="136">
        <v>150</v>
      </c>
      <c r="J57" t="s">
        <v>115</v>
      </c>
    </row>
    <row r="58" spans="4:10" x14ac:dyDescent="0.25">
      <c r="D58" s="136" t="s">
        <v>373</v>
      </c>
      <c r="E58" s="136">
        <v>75</v>
      </c>
      <c r="F58" s="136">
        <v>25</v>
      </c>
      <c r="G58" s="136">
        <v>75000</v>
      </c>
      <c r="H58" s="136">
        <v>105000</v>
      </c>
      <c r="I58" s="136">
        <v>150</v>
      </c>
      <c r="J58" t="s">
        <v>314</v>
      </c>
    </row>
    <row r="59" spans="4:10" x14ac:dyDescent="0.25">
      <c r="D59" s="136" t="s">
        <v>373</v>
      </c>
      <c r="E59" s="136">
        <v>75</v>
      </c>
      <c r="F59" s="136">
        <v>50</v>
      </c>
      <c r="G59" s="136">
        <v>75000</v>
      </c>
      <c r="H59" s="136">
        <v>113000</v>
      </c>
      <c r="I59" s="136">
        <v>150</v>
      </c>
      <c r="J59" t="s">
        <v>316</v>
      </c>
    </row>
    <row r="60" spans="4:10" x14ac:dyDescent="0.25">
      <c r="D60" s="136" t="s">
        <v>373</v>
      </c>
      <c r="E60" s="136">
        <v>75</v>
      </c>
      <c r="F60" s="136">
        <v>80</v>
      </c>
      <c r="G60" s="136">
        <v>75000</v>
      </c>
      <c r="H60" s="136">
        <v>117000</v>
      </c>
      <c r="I60" s="136">
        <v>150</v>
      </c>
      <c r="J60" t="s">
        <v>318</v>
      </c>
    </row>
    <row r="61" spans="4:10" x14ac:dyDescent="0.25">
      <c r="D61" s="136" t="s">
        <v>373</v>
      </c>
      <c r="E61" s="136">
        <v>75</v>
      </c>
      <c r="F61" s="136">
        <v>100</v>
      </c>
      <c r="G61" s="136">
        <v>75000</v>
      </c>
      <c r="H61" s="136">
        <v>119000</v>
      </c>
      <c r="I61" s="136">
        <v>150</v>
      </c>
      <c r="J61" t="s">
        <v>116</v>
      </c>
    </row>
    <row r="62" spans="4:10" x14ac:dyDescent="0.25">
      <c r="D62" s="136" t="s">
        <v>373</v>
      </c>
      <c r="E62" s="136">
        <v>75</v>
      </c>
      <c r="F62" s="136">
        <v>125</v>
      </c>
      <c r="G62" s="136">
        <v>75000</v>
      </c>
      <c r="H62" s="136">
        <v>121000</v>
      </c>
      <c r="I62" s="136">
        <v>150</v>
      </c>
      <c r="J62" t="s">
        <v>117</v>
      </c>
    </row>
    <row r="63" spans="4:10" x14ac:dyDescent="0.25">
      <c r="D63" s="136" t="s">
        <v>373</v>
      </c>
      <c r="E63" s="136">
        <v>75</v>
      </c>
      <c r="F63" s="136">
        <v>160</v>
      </c>
      <c r="G63" s="136">
        <v>75000</v>
      </c>
      <c r="H63" s="136">
        <v>122000</v>
      </c>
      <c r="I63" s="136">
        <v>150</v>
      </c>
      <c r="J63" t="s">
        <v>118</v>
      </c>
    </row>
    <row r="64" spans="4:10" x14ac:dyDescent="0.25">
      <c r="D64" s="136" t="s">
        <v>373</v>
      </c>
      <c r="E64" s="136">
        <v>75</v>
      </c>
      <c r="F64" s="136">
        <v>200</v>
      </c>
      <c r="G64" s="136">
        <v>75000</v>
      </c>
      <c r="H64" s="136">
        <v>123000</v>
      </c>
      <c r="I64" s="136">
        <v>150</v>
      </c>
      <c r="J64" t="s">
        <v>119</v>
      </c>
    </row>
    <row r="65" spans="4:10" x14ac:dyDescent="0.25">
      <c r="D65" s="136" t="s">
        <v>373</v>
      </c>
      <c r="E65" s="136">
        <v>75</v>
      </c>
      <c r="F65" s="136">
        <v>250</v>
      </c>
      <c r="G65" s="136">
        <v>75000</v>
      </c>
      <c r="H65" s="136">
        <v>124000</v>
      </c>
      <c r="I65" s="136">
        <v>150</v>
      </c>
      <c r="J65" t="s">
        <v>120</v>
      </c>
    </row>
    <row r="66" spans="4:10" x14ac:dyDescent="0.25">
      <c r="D66" s="136" t="s">
        <v>373</v>
      </c>
      <c r="E66" s="136">
        <v>75</v>
      </c>
      <c r="F66" s="136">
        <v>300</v>
      </c>
      <c r="G66" s="136">
        <v>75000</v>
      </c>
      <c r="H66" s="136">
        <v>124000</v>
      </c>
      <c r="I66" s="136">
        <v>150</v>
      </c>
      <c r="J66" t="s">
        <v>121</v>
      </c>
    </row>
    <row r="67" spans="4:10" x14ac:dyDescent="0.25">
      <c r="D67" s="136" t="s">
        <v>373</v>
      </c>
      <c r="E67" s="136">
        <v>100</v>
      </c>
      <c r="F67" s="136">
        <v>25</v>
      </c>
      <c r="G67" s="136">
        <v>106000</v>
      </c>
      <c r="H67" s="136">
        <v>138000</v>
      </c>
      <c r="I67" s="136">
        <v>150</v>
      </c>
      <c r="J67" t="s">
        <v>370</v>
      </c>
    </row>
    <row r="68" spans="4:10" x14ac:dyDescent="0.25">
      <c r="D68" s="136" t="s">
        <v>373</v>
      </c>
      <c r="E68" s="136">
        <v>100</v>
      </c>
      <c r="F68" s="136">
        <v>50</v>
      </c>
      <c r="G68" s="136">
        <v>106000</v>
      </c>
      <c r="H68" s="136">
        <v>147000</v>
      </c>
      <c r="I68" s="136">
        <v>150</v>
      </c>
      <c r="J68" t="s">
        <v>371</v>
      </c>
    </row>
    <row r="69" spans="4:10" x14ac:dyDescent="0.25">
      <c r="D69" s="136" t="s">
        <v>373</v>
      </c>
      <c r="E69" s="136">
        <v>100</v>
      </c>
      <c r="F69" s="136">
        <v>80</v>
      </c>
      <c r="G69" s="136">
        <v>106000</v>
      </c>
      <c r="H69" s="136">
        <v>152000</v>
      </c>
      <c r="I69" s="136">
        <v>150</v>
      </c>
      <c r="J69" t="s">
        <v>372</v>
      </c>
    </row>
    <row r="70" spans="4:10" x14ac:dyDescent="0.25">
      <c r="D70" s="136" t="s">
        <v>373</v>
      </c>
      <c r="E70" s="136">
        <v>100</v>
      </c>
      <c r="F70" s="136">
        <v>100</v>
      </c>
      <c r="G70" s="136">
        <v>106000</v>
      </c>
      <c r="H70" s="136">
        <v>156000</v>
      </c>
      <c r="I70" s="136">
        <v>150</v>
      </c>
      <c r="J70" t="s">
        <v>122</v>
      </c>
    </row>
    <row r="71" spans="4:10" x14ac:dyDescent="0.25">
      <c r="D71" s="136" t="s">
        <v>373</v>
      </c>
      <c r="E71" s="136">
        <v>100</v>
      </c>
      <c r="F71" s="136">
        <v>125</v>
      </c>
      <c r="G71" s="136">
        <v>106000</v>
      </c>
      <c r="H71" s="136">
        <v>157000</v>
      </c>
      <c r="I71" s="136">
        <v>150</v>
      </c>
      <c r="J71" t="s">
        <v>123</v>
      </c>
    </row>
    <row r="72" spans="4:10" x14ac:dyDescent="0.25">
      <c r="D72" s="136" t="s">
        <v>373</v>
      </c>
      <c r="E72" s="136">
        <v>100</v>
      </c>
      <c r="F72" s="136">
        <v>160</v>
      </c>
      <c r="G72" s="136">
        <v>106000</v>
      </c>
      <c r="H72" s="136">
        <v>158000</v>
      </c>
      <c r="I72" s="136">
        <v>150</v>
      </c>
      <c r="J72" t="s">
        <v>124</v>
      </c>
    </row>
    <row r="73" spans="4:10" x14ac:dyDescent="0.25">
      <c r="D73" s="136" t="s">
        <v>373</v>
      </c>
      <c r="E73" s="136">
        <v>100</v>
      </c>
      <c r="F73" s="136">
        <v>200</v>
      </c>
      <c r="G73" s="136">
        <v>106000</v>
      </c>
      <c r="H73" s="136">
        <v>160000</v>
      </c>
      <c r="I73" s="136">
        <v>150</v>
      </c>
      <c r="J73" t="s">
        <v>125</v>
      </c>
    </row>
    <row r="74" spans="4:10" x14ac:dyDescent="0.25">
      <c r="D74" s="136" t="s">
        <v>373</v>
      </c>
      <c r="E74" s="136">
        <v>100</v>
      </c>
      <c r="F74" s="136">
        <v>250</v>
      </c>
      <c r="G74" s="136">
        <v>106000</v>
      </c>
      <c r="H74" s="136">
        <v>160000</v>
      </c>
      <c r="I74" s="136">
        <v>150</v>
      </c>
      <c r="J74" t="s">
        <v>126</v>
      </c>
    </row>
    <row r="75" spans="4:10" x14ac:dyDescent="0.25">
      <c r="D75" s="136" t="s">
        <v>373</v>
      </c>
      <c r="E75" s="136">
        <v>100</v>
      </c>
      <c r="F75" s="136">
        <v>300</v>
      </c>
      <c r="G75" s="136">
        <v>106000</v>
      </c>
      <c r="H75" s="136">
        <v>160000</v>
      </c>
      <c r="I75" s="136">
        <v>150</v>
      </c>
      <c r="J75" t="s">
        <v>127</v>
      </c>
    </row>
    <row r="76" spans="4:10" x14ac:dyDescent="0.25">
      <c r="D76" s="136" t="s">
        <v>386</v>
      </c>
      <c r="E76" s="136">
        <v>3.5</v>
      </c>
      <c r="F76" s="136">
        <v>10</v>
      </c>
      <c r="G76" s="136">
        <v>3600</v>
      </c>
      <c r="H76" s="136">
        <v>5900</v>
      </c>
      <c r="I76" s="136">
        <v>180</v>
      </c>
      <c r="J76" t="s">
        <v>374</v>
      </c>
    </row>
    <row r="77" spans="4:10" x14ac:dyDescent="0.25">
      <c r="D77" s="136" t="s">
        <v>386</v>
      </c>
      <c r="E77" s="136">
        <v>3.5</v>
      </c>
      <c r="F77" s="136">
        <v>16</v>
      </c>
      <c r="G77" s="136">
        <v>3600</v>
      </c>
      <c r="H77" s="136">
        <v>5300</v>
      </c>
      <c r="I77" s="136">
        <v>180</v>
      </c>
      <c r="J77" t="s">
        <v>375</v>
      </c>
    </row>
    <row r="78" spans="4:10" x14ac:dyDescent="0.25">
      <c r="D78" s="136" t="s">
        <v>386</v>
      </c>
      <c r="E78" s="136">
        <v>3.5</v>
      </c>
      <c r="F78" s="136">
        <v>25</v>
      </c>
      <c r="G78" s="136">
        <v>3600</v>
      </c>
      <c r="H78" s="136">
        <v>5500</v>
      </c>
      <c r="I78" s="136">
        <v>180</v>
      </c>
      <c r="J78" t="s">
        <v>320</v>
      </c>
    </row>
    <row r="79" spans="4:10" x14ac:dyDescent="0.25">
      <c r="D79" s="136" t="s">
        <v>386</v>
      </c>
      <c r="E79" s="136">
        <v>3.5</v>
      </c>
      <c r="F79" s="136">
        <v>50</v>
      </c>
      <c r="G79" s="136">
        <v>3600</v>
      </c>
      <c r="H79" s="136">
        <v>5600</v>
      </c>
      <c r="I79" s="136">
        <v>180</v>
      </c>
      <c r="J79" t="s">
        <v>322</v>
      </c>
    </row>
    <row r="80" spans="4:10" x14ac:dyDescent="0.25">
      <c r="D80" s="136" t="s">
        <v>386</v>
      </c>
      <c r="E80" s="136">
        <v>3.5</v>
      </c>
      <c r="F80" s="136">
        <v>63</v>
      </c>
      <c r="G80" s="136">
        <v>3600</v>
      </c>
      <c r="H80" s="136">
        <v>5500</v>
      </c>
      <c r="I80" s="136">
        <v>180</v>
      </c>
      <c r="J80" t="s">
        <v>323</v>
      </c>
    </row>
    <row r="81" spans="4:10" x14ac:dyDescent="0.25">
      <c r="D81" s="136" t="s">
        <v>386</v>
      </c>
      <c r="E81" s="136">
        <v>3.5</v>
      </c>
      <c r="F81" s="136">
        <v>80</v>
      </c>
      <c r="G81" s="136">
        <v>3600</v>
      </c>
      <c r="H81" s="136">
        <v>5500</v>
      </c>
      <c r="I81" s="136">
        <v>180</v>
      </c>
      <c r="J81" t="s">
        <v>324</v>
      </c>
    </row>
    <row r="82" spans="4:10" x14ac:dyDescent="0.25">
      <c r="D82" s="136" t="s">
        <v>386</v>
      </c>
      <c r="E82" s="136">
        <v>3.5</v>
      </c>
      <c r="F82" s="136">
        <v>100</v>
      </c>
      <c r="G82" s="136">
        <v>3600</v>
      </c>
      <c r="H82" s="136">
        <v>5500</v>
      </c>
      <c r="I82" s="136">
        <v>180</v>
      </c>
      <c r="J82" t="s">
        <v>74</v>
      </c>
    </row>
    <row r="83" spans="4:10" x14ac:dyDescent="0.25">
      <c r="D83" s="136" t="s">
        <v>386</v>
      </c>
      <c r="E83" s="136">
        <v>3.5</v>
      </c>
      <c r="F83" s="136">
        <v>125</v>
      </c>
      <c r="G83" s="136">
        <v>3600</v>
      </c>
      <c r="H83" s="136">
        <v>5500</v>
      </c>
      <c r="I83" s="136">
        <v>180</v>
      </c>
      <c r="J83" t="s">
        <v>128</v>
      </c>
    </row>
    <row r="84" spans="4:10" x14ac:dyDescent="0.25">
      <c r="D84" s="136" t="s">
        <v>386</v>
      </c>
      <c r="E84" s="136">
        <v>5</v>
      </c>
      <c r="F84" s="136">
        <v>16</v>
      </c>
      <c r="G84" s="136">
        <v>4700</v>
      </c>
      <c r="H84" s="136">
        <v>7200</v>
      </c>
      <c r="I84" s="136">
        <v>150</v>
      </c>
      <c r="J84" t="s">
        <v>376</v>
      </c>
    </row>
    <row r="85" spans="4:10" x14ac:dyDescent="0.25">
      <c r="D85" s="136" t="s">
        <v>386</v>
      </c>
      <c r="E85" s="136">
        <v>5</v>
      </c>
      <c r="F85" s="136">
        <v>25</v>
      </c>
      <c r="G85" s="136">
        <v>4700</v>
      </c>
      <c r="H85" s="136">
        <v>7300</v>
      </c>
      <c r="I85" s="136">
        <v>150</v>
      </c>
      <c r="J85" t="s">
        <v>325</v>
      </c>
    </row>
    <row r="86" spans="4:10" x14ac:dyDescent="0.25">
      <c r="D86" s="136" t="s">
        <v>386</v>
      </c>
      <c r="E86" s="136">
        <v>5</v>
      </c>
      <c r="F86" s="136">
        <v>50</v>
      </c>
      <c r="G86" s="136">
        <v>4700</v>
      </c>
      <c r="H86" s="136">
        <v>7200</v>
      </c>
      <c r="I86" s="136">
        <v>150</v>
      </c>
      <c r="J86" t="s">
        <v>327</v>
      </c>
    </row>
    <row r="87" spans="4:10" x14ac:dyDescent="0.25">
      <c r="D87" s="136" t="s">
        <v>386</v>
      </c>
      <c r="E87" s="136">
        <v>5</v>
      </c>
      <c r="F87" s="136">
        <v>63</v>
      </c>
      <c r="G87" s="136">
        <v>4700</v>
      </c>
      <c r="H87" s="136">
        <v>7200</v>
      </c>
      <c r="I87" s="136">
        <v>150</v>
      </c>
      <c r="J87" t="s">
        <v>328</v>
      </c>
    </row>
    <row r="88" spans="4:10" x14ac:dyDescent="0.25">
      <c r="D88" s="136" t="s">
        <v>386</v>
      </c>
      <c r="E88" s="136">
        <v>5</v>
      </c>
      <c r="F88" s="136">
        <v>80</v>
      </c>
      <c r="G88" s="136">
        <v>4700</v>
      </c>
      <c r="H88" s="136">
        <v>7100</v>
      </c>
      <c r="I88" s="136">
        <v>150</v>
      </c>
      <c r="J88" t="s">
        <v>329</v>
      </c>
    </row>
    <row r="89" spans="4:10" x14ac:dyDescent="0.25">
      <c r="D89" s="136" t="s">
        <v>386</v>
      </c>
      <c r="E89" s="136">
        <v>5</v>
      </c>
      <c r="F89" s="136">
        <v>100</v>
      </c>
      <c r="G89" s="136">
        <v>4700</v>
      </c>
      <c r="H89" s="136">
        <v>7100</v>
      </c>
      <c r="I89" s="136">
        <v>150</v>
      </c>
      <c r="J89" t="s">
        <v>75</v>
      </c>
    </row>
    <row r="90" spans="4:10" x14ac:dyDescent="0.25">
      <c r="D90" s="136" t="s">
        <v>386</v>
      </c>
      <c r="E90" s="136">
        <v>5</v>
      </c>
      <c r="F90" s="136">
        <v>125</v>
      </c>
      <c r="G90" s="136">
        <v>4700</v>
      </c>
      <c r="H90" s="136">
        <v>7100</v>
      </c>
      <c r="I90" s="136">
        <v>150</v>
      </c>
      <c r="J90" t="s">
        <v>130</v>
      </c>
    </row>
    <row r="91" spans="4:10" x14ac:dyDescent="0.25">
      <c r="D91" s="136" t="s">
        <v>386</v>
      </c>
      <c r="E91" s="136">
        <v>7.5</v>
      </c>
      <c r="F91" s="136">
        <v>16</v>
      </c>
      <c r="G91" s="136">
        <v>7400</v>
      </c>
      <c r="H91" s="136">
        <v>12100</v>
      </c>
      <c r="I91" s="136">
        <v>150</v>
      </c>
      <c r="J91" t="s">
        <v>377</v>
      </c>
    </row>
    <row r="92" spans="4:10" x14ac:dyDescent="0.25">
      <c r="D92" s="136" t="s">
        <v>386</v>
      </c>
      <c r="E92" s="136">
        <v>7.5</v>
      </c>
      <c r="F92" s="136">
        <v>25</v>
      </c>
      <c r="G92" s="136">
        <v>7400</v>
      </c>
      <c r="H92" s="136">
        <v>11800</v>
      </c>
      <c r="I92" s="136">
        <v>150</v>
      </c>
      <c r="J92" t="s">
        <v>330</v>
      </c>
    </row>
    <row r="93" spans="4:10" x14ac:dyDescent="0.25">
      <c r="D93" s="136" t="s">
        <v>386</v>
      </c>
      <c r="E93" s="136">
        <v>7.5</v>
      </c>
      <c r="F93" s="136">
        <v>50</v>
      </c>
      <c r="G93" s="136">
        <v>7400</v>
      </c>
      <c r="H93" s="136">
        <v>11800</v>
      </c>
      <c r="I93" s="136">
        <v>150</v>
      </c>
      <c r="J93" t="s">
        <v>332</v>
      </c>
    </row>
    <row r="94" spans="4:10" x14ac:dyDescent="0.25">
      <c r="D94" s="136" t="s">
        <v>386</v>
      </c>
      <c r="E94" s="136">
        <v>7.5</v>
      </c>
      <c r="F94" s="136">
        <v>63</v>
      </c>
      <c r="G94" s="136">
        <v>7400</v>
      </c>
      <c r="H94" s="136">
        <v>11800</v>
      </c>
      <c r="I94" s="136">
        <v>150</v>
      </c>
      <c r="J94" t="s">
        <v>333</v>
      </c>
    </row>
    <row r="95" spans="4:10" x14ac:dyDescent="0.25">
      <c r="D95" s="136" t="s">
        <v>386</v>
      </c>
      <c r="E95" s="136">
        <v>7.5</v>
      </c>
      <c r="F95" s="136">
        <v>80</v>
      </c>
      <c r="G95" s="136">
        <v>7400</v>
      </c>
      <c r="H95" s="136">
        <v>11900</v>
      </c>
      <c r="I95" s="136">
        <v>150</v>
      </c>
      <c r="J95" t="s">
        <v>334</v>
      </c>
    </row>
    <row r="96" spans="4:10" x14ac:dyDescent="0.25">
      <c r="D96" s="136" t="s">
        <v>386</v>
      </c>
      <c r="E96" s="136">
        <v>7.5</v>
      </c>
      <c r="F96" s="136">
        <v>100</v>
      </c>
      <c r="G96" s="136">
        <v>7400</v>
      </c>
      <c r="H96" s="136">
        <v>11900</v>
      </c>
      <c r="I96" s="136">
        <v>150</v>
      </c>
      <c r="J96" t="s">
        <v>76</v>
      </c>
    </row>
    <row r="97" spans="4:10" x14ac:dyDescent="0.25">
      <c r="D97" s="136" t="s">
        <v>386</v>
      </c>
      <c r="E97" s="136">
        <v>7.5</v>
      </c>
      <c r="F97" s="136">
        <v>125</v>
      </c>
      <c r="G97" s="136">
        <v>7400</v>
      </c>
      <c r="H97" s="136">
        <v>11900</v>
      </c>
      <c r="I97" s="136">
        <v>150</v>
      </c>
      <c r="J97" t="s">
        <v>77</v>
      </c>
    </row>
    <row r="98" spans="4:10" x14ac:dyDescent="0.25">
      <c r="D98" s="136" t="s">
        <v>386</v>
      </c>
      <c r="E98" s="136">
        <v>10</v>
      </c>
      <c r="F98" s="136">
        <v>16</v>
      </c>
      <c r="G98" s="136">
        <v>9200</v>
      </c>
      <c r="H98" s="136">
        <v>13800</v>
      </c>
      <c r="I98" s="136">
        <v>150</v>
      </c>
      <c r="J98" t="s">
        <v>378</v>
      </c>
    </row>
    <row r="99" spans="4:10" x14ac:dyDescent="0.25">
      <c r="D99" s="136" t="s">
        <v>386</v>
      </c>
      <c r="E99" s="136">
        <v>10</v>
      </c>
      <c r="F99" s="136">
        <v>25</v>
      </c>
      <c r="G99" s="136">
        <v>9200</v>
      </c>
      <c r="H99" s="136">
        <v>14200</v>
      </c>
      <c r="I99" s="136">
        <v>150</v>
      </c>
      <c r="J99" t="s">
        <v>335</v>
      </c>
    </row>
    <row r="100" spans="4:10" x14ac:dyDescent="0.25">
      <c r="D100" s="136" t="s">
        <v>386</v>
      </c>
      <c r="E100" s="136">
        <v>10</v>
      </c>
      <c r="F100" s="136">
        <v>50</v>
      </c>
      <c r="G100" s="136">
        <v>9200</v>
      </c>
      <c r="H100" s="136">
        <v>14600</v>
      </c>
      <c r="I100" s="136">
        <v>150</v>
      </c>
      <c r="J100" t="s">
        <v>337</v>
      </c>
    </row>
    <row r="101" spans="4:10" x14ac:dyDescent="0.25">
      <c r="D101" s="136" t="s">
        <v>386</v>
      </c>
      <c r="E101" s="136">
        <v>10</v>
      </c>
      <c r="F101" s="136">
        <v>63</v>
      </c>
      <c r="G101" s="136">
        <v>9200</v>
      </c>
      <c r="H101" s="136">
        <v>14700</v>
      </c>
      <c r="I101" s="136">
        <v>150</v>
      </c>
      <c r="J101" t="s">
        <v>338</v>
      </c>
    </row>
    <row r="102" spans="4:10" x14ac:dyDescent="0.25">
      <c r="D102" s="136" t="s">
        <v>386</v>
      </c>
      <c r="E102" s="136">
        <v>10</v>
      </c>
      <c r="F102" s="136">
        <v>80</v>
      </c>
      <c r="G102" s="136">
        <v>9200</v>
      </c>
      <c r="H102" s="136">
        <v>14800</v>
      </c>
      <c r="I102" s="136">
        <v>150</v>
      </c>
      <c r="J102" t="s">
        <v>339</v>
      </c>
    </row>
    <row r="103" spans="4:10" x14ac:dyDescent="0.25">
      <c r="D103" s="136" t="s">
        <v>386</v>
      </c>
      <c r="E103" s="136">
        <v>10</v>
      </c>
      <c r="F103" s="136">
        <v>100</v>
      </c>
      <c r="G103" s="136">
        <v>9200</v>
      </c>
      <c r="H103" s="136">
        <v>14800</v>
      </c>
      <c r="I103" s="136">
        <v>150</v>
      </c>
      <c r="J103" t="s">
        <v>78</v>
      </c>
    </row>
    <row r="104" spans="4:10" x14ac:dyDescent="0.25">
      <c r="D104" s="136" t="s">
        <v>386</v>
      </c>
      <c r="E104" s="136">
        <v>10</v>
      </c>
      <c r="F104" s="136">
        <v>125</v>
      </c>
      <c r="G104" s="136">
        <v>9200</v>
      </c>
      <c r="H104" s="136">
        <v>14800</v>
      </c>
      <c r="I104" s="136">
        <v>150</v>
      </c>
      <c r="J104" t="s">
        <v>79</v>
      </c>
    </row>
    <row r="105" spans="4:10" x14ac:dyDescent="0.25">
      <c r="D105" s="136" t="s">
        <v>386</v>
      </c>
      <c r="E105" s="136">
        <v>24</v>
      </c>
      <c r="F105" s="136">
        <v>16</v>
      </c>
      <c r="G105" s="136">
        <v>24000</v>
      </c>
      <c r="H105" s="136">
        <v>38300</v>
      </c>
      <c r="I105" s="136">
        <v>150</v>
      </c>
      <c r="J105" t="s">
        <v>379</v>
      </c>
    </row>
    <row r="106" spans="4:10" x14ac:dyDescent="0.25">
      <c r="D106" s="136" t="s">
        <v>386</v>
      </c>
      <c r="E106" s="136">
        <v>24</v>
      </c>
      <c r="F106" s="136">
        <v>25</v>
      </c>
      <c r="G106" s="136">
        <v>24000</v>
      </c>
      <c r="H106" s="136">
        <v>38700</v>
      </c>
      <c r="I106" s="136">
        <v>150</v>
      </c>
      <c r="J106" t="s">
        <v>345</v>
      </c>
    </row>
    <row r="107" spans="4:10" x14ac:dyDescent="0.25">
      <c r="D107" s="136" t="s">
        <v>386</v>
      </c>
      <c r="E107" s="136">
        <v>24</v>
      </c>
      <c r="F107" s="136">
        <v>50</v>
      </c>
      <c r="G107" s="136">
        <v>24000</v>
      </c>
      <c r="H107" s="136">
        <v>39200</v>
      </c>
      <c r="I107" s="136">
        <v>150</v>
      </c>
      <c r="J107" t="s">
        <v>347</v>
      </c>
    </row>
    <row r="108" spans="4:10" x14ac:dyDescent="0.25">
      <c r="D108" s="136" t="s">
        <v>386</v>
      </c>
      <c r="E108" s="136">
        <v>24</v>
      </c>
      <c r="F108" s="136">
        <v>63</v>
      </c>
      <c r="G108" s="136">
        <v>24000</v>
      </c>
      <c r="H108" s="136">
        <v>39200</v>
      </c>
      <c r="I108" s="136">
        <v>150</v>
      </c>
      <c r="J108" t="s">
        <v>348</v>
      </c>
    </row>
    <row r="109" spans="4:10" x14ac:dyDescent="0.25">
      <c r="D109" s="136" t="s">
        <v>386</v>
      </c>
      <c r="E109" s="136">
        <v>24</v>
      </c>
      <c r="F109" s="136">
        <v>80</v>
      </c>
      <c r="G109" s="136">
        <v>24000</v>
      </c>
      <c r="H109" s="136">
        <v>39200</v>
      </c>
      <c r="I109" s="136">
        <v>150</v>
      </c>
      <c r="J109" t="s">
        <v>349</v>
      </c>
    </row>
    <row r="110" spans="4:10" x14ac:dyDescent="0.25">
      <c r="D110" s="136" t="s">
        <v>386</v>
      </c>
      <c r="E110" s="136">
        <v>24</v>
      </c>
      <c r="F110" s="136">
        <v>100</v>
      </c>
      <c r="G110" s="136">
        <v>24000</v>
      </c>
      <c r="H110" s="136">
        <v>39300</v>
      </c>
      <c r="I110" s="136">
        <v>150</v>
      </c>
      <c r="J110" t="s">
        <v>82</v>
      </c>
    </row>
    <row r="111" spans="4:10" x14ac:dyDescent="0.25">
      <c r="D111" s="136" t="s">
        <v>386</v>
      </c>
      <c r="E111" s="136">
        <v>24</v>
      </c>
      <c r="F111" s="136">
        <v>125</v>
      </c>
      <c r="G111" s="136">
        <v>24000</v>
      </c>
      <c r="H111" s="136">
        <v>39300</v>
      </c>
      <c r="I111" s="136">
        <v>150</v>
      </c>
      <c r="J111" t="s">
        <v>83</v>
      </c>
    </row>
    <row r="112" spans="4:10" x14ac:dyDescent="0.25">
      <c r="D112" s="136" t="s">
        <v>386</v>
      </c>
      <c r="E112" s="136">
        <v>42</v>
      </c>
      <c r="F112" s="136">
        <v>16</v>
      </c>
      <c r="G112" s="136">
        <v>42000</v>
      </c>
      <c r="H112" s="136">
        <v>61700</v>
      </c>
      <c r="I112" s="136">
        <v>150</v>
      </c>
      <c r="J112" t="s">
        <v>380</v>
      </c>
    </row>
    <row r="113" spans="4:10" x14ac:dyDescent="0.25">
      <c r="D113" s="136" t="s">
        <v>386</v>
      </c>
      <c r="E113" s="136">
        <v>42</v>
      </c>
      <c r="F113" s="136">
        <v>25</v>
      </c>
      <c r="G113" s="136">
        <v>42000</v>
      </c>
      <c r="H113" s="136">
        <v>60800</v>
      </c>
      <c r="I113" s="136">
        <v>150</v>
      </c>
      <c r="J113" t="s">
        <v>350</v>
      </c>
    </row>
    <row r="114" spans="4:10" x14ac:dyDescent="0.25">
      <c r="D114" s="136" t="s">
        <v>386</v>
      </c>
      <c r="E114" s="136">
        <v>42</v>
      </c>
      <c r="F114" s="136">
        <v>50</v>
      </c>
      <c r="G114" s="136">
        <v>42000</v>
      </c>
      <c r="H114" s="136">
        <v>67000</v>
      </c>
      <c r="I114" s="136">
        <v>150</v>
      </c>
      <c r="J114" t="s">
        <v>352</v>
      </c>
    </row>
    <row r="115" spans="4:10" x14ac:dyDescent="0.25">
      <c r="D115" s="136" t="s">
        <v>386</v>
      </c>
      <c r="E115" s="136">
        <v>42</v>
      </c>
      <c r="F115" s="136">
        <v>63</v>
      </c>
      <c r="G115" s="136">
        <v>42000</v>
      </c>
      <c r="H115" s="136">
        <v>67800</v>
      </c>
      <c r="I115" s="136">
        <v>150</v>
      </c>
      <c r="J115" t="s">
        <v>353</v>
      </c>
    </row>
    <row r="116" spans="4:10" x14ac:dyDescent="0.25">
      <c r="D116" s="136" t="s">
        <v>386</v>
      </c>
      <c r="E116" s="136">
        <v>42</v>
      </c>
      <c r="F116" s="136">
        <v>80</v>
      </c>
      <c r="G116" s="136">
        <v>42000</v>
      </c>
      <c r="H116" s="136">
        <v>68600</v>
      </c>
      <c r="I116" s="136">
        <v>150</v>
      </c>
      <c r="J116" t="s">
        <v>354</v>
      </c>
    </row>
    <row r="117" spans="4:10" x14ac:dyDescent="0.25">
      <c r="D117" s="136" t="s">
        <v>386</v>
      </c>
      <c r="E117" s="136">
        <v>42</v>
      </c>
      <c r="F117" s="136">
        <v>100</v>
      </c>
      <c r="G117" s="136">
        <v>42000</v>
      </c>
      <c r="H117" s="136">
        <v>69100</v>
      </c>
      <c r="I117" s="136">
        <v>150</v>
      </c>
      <c r="J117" t="s">
        <v>84</v>
      </c>
    </row>
    <row r="118" spans="4:10" x14ac:dyDescent="0.25">
      <c r="D118" s="136" t="s">
        <v>386</v>
      </c>
      <c r="E118" s="136">
        <v>42</v>
      </c>
      <c r="F118" s="136">
        <v>125</v>
      </c>
      <c r="G118" s="136">
        <v>42000</v>
      </c>
      <c r="H118" s="136">
        <v>69600</v>
      </c>
      <c r="I118" s="136">
        <v>150</v>
      </c>
      <c r="J118" t="s">
        <v>85</v>
      </c>
    </row>
    <row r="119" spans="4:10" x14ac:dyDescent="0.25">
      <c r="D119" s="136" t="s">
        <v>386</v>
      </c>
      <c r="E119" s="136">
        <v>66</v>
      </c>
      <c r="F119" s="136">
        <v>16</v>
      </c>
      <c r="G119" s="136">
        <v>66300</v>
      </c>
      <c r="H119" s="136">
        <v>89000</v>
      </c>
      <c r="I119" s="136">
        <v>150</v>
      </c>
      <c r="J119" t="s">
        <v>381</v>
      </c>
    </row>
    <row r="120" spans="4:10" x14ac:dyDescent="0.25">
      <c r="D120" s="136" t="s">
        <v>386</v>
      </c>
      <c r="E120" s="136">
        <v>66</v>
      </c>
      <c r="F120" s="136">
        <v>25</v>
      </c>
      <c r="G120" s="136">
        <v>66300</v>
      </c>
      <c r="H120" s="136">
        <v>93900</v>
      </c>
      <c r="I120" s="136">
        <v>150</v>
      </c>
      <c r="J120" t="s">
        <v>355</v>
      </c>
    </row>
    <row r="121" spans="4:10" x14ac:dyDescent="0.25">
      <c r="D121" s="136" t="s">
        <v>386</v>
      </c>
      <c r="E121" s="136">
        <v>66</v>
      </c>
      <c r="F121" s="136">
        <v>50</v>
      </c>
      <c r="G121" s="136">
        <v>66300</v>
      </c>
      <c r="H121" s="136">
        <v>100600</v>
      </c>
      <c r="I121" s="136">
        <v>150</v>
      </c>
      <c r="J121" t="s">
        <v>357</v>
      </c>
    </row>
    <row r="122" spans="4:10" x14ac:dyDescent="0.25">
      <c r="D122" s="136" t="s">
        <v>386</v>
      </c>
      <c r="E122" s="136">
        <v>66</v>
      </c>
      <c r="F122" s="136">
        <v>63</v>
      </c>
      <c r="G122" s="136">
        <v>66300</v>
      </c>
      <c r="H122" s="136">
        <v>102400</v>
      </c>
      <c r="I122" s="136">
        <v>150</v>
      </c>
      <c r="J122" t="s">
        <v>358</v>
      </c>
    </row>
    <row r="123" spans="4:10" x14ac:dyDescent="0.25">
      <c r="D123" s="136" t="s">
        <v>386</v>
      </c>
      <c r="E123" s="136">
        <v>66</v>
      </c>
      <c r="F123" s="136">
        <v>80</v>
      </c>
      <c r="G123" s="136">
        <v>66300</v>
      </c>
      <c r="H123" s="136">
        <v>104100</v>
      </c>
      <c r="I123" s="136">
        <v>150</v>
      </c>
      <c r="J123" t="s">
        <v>359</v>
      </c>
    </row>
    <row r="124" spans="4:10" x14ac:dyDescent="0.25">
      <c r="D124" s="136" t="s">
        <v>386</v>
      </c>
      <c r="E124" s="136">
        <v>66</v>
      </c>
      <c r="F124" s="136">
        <v>100</v>
      </c>
      <c r="G124" s="136">
        <v>66300</v>
      </c>
      <c r="H124" s="136">
        <v>105400</v>
      </c>
      <c r="I124" s="136">
        <v>150</v>
      </c>
      <c r="J124" t="s">
        <v>86</v>
      </c>
    </row>
    <row r="125" spans="4:10" x14ac:dyDescent="0.25">
      <c r="D125" s="136" t="s">
        <v>386</v>
      </c>
      <c r="E125" s="136">
        <v>66</v>
      </c>
      <c r="F125" s="136">
        <v>125</v>
      </c>
      <c r="G125" s="136">
        <v>66300</v>
      </c>
      <c r="H125" s="136">
        <v>106500</v>
      </c>
      <c r="I125" s="136">
        <v>150</v>
      </c>
      <c r="J125" t="s">
        <v>87</v>
      </c>
    </row>
    <row r="126" spans="4:10" x14ac:dyDescent="0.25">
      <c r="D126" s="136" t="s">
        <v>386</v>
      </c>
      <c r="E126" s="136">
        <v>95</v>
      </c>
      <c r="F126" s="136">
        <v>25</v>
      </c>
      <c r="G126" s="136">
        <v>95000</v>
      </c>
      <c r="H126" s="136">
        <v>139000</v>
      </c>
      <c r="I126" s="136">
        <v>150</v>
      </c>
      <c r="J126" t="s">
        <v>360</v>
      </c>
    </row>
    <row r="127" spans="4:10" x14ac:dyDescent="0.25">
      <c r="D127" s="136" t="s">
        <v>386</v>
      </c>
      <c r="E127" s="136">
        <v>95</v>
      </c>
      <c r="F127" s="136">
        <v>50</v>
      </c>
      <c r="G127" s="136">
        <v>95000</v>
      </c>
      <c r="H127" s="136">
        <v>146000</v>
      </c>
      <c r="I127" s="136">
        <v>150</v>
      </c>
      <c r="J127" t="s">
        <v>362</v>
      </c>
    </row>
    <row r="128" spans="4:10" x14ac:dyDescent="0.25">
      <c r="D128" s="136" t="s">
        <v>386</v>
      </c>
      <c r="E128" s="136">
        <v>95</v>
      </c>
      <c r="F128" s="136">
        <v>63</v>
      </c>
      <c r="G128" s="136">
        <v>95000</v>
      </c>
      <c r="H128" s="136">
        <v>148000</v>
      </c>
      <c r="I128" s="136">
        <v>150</v>
      </c>
      <c r="J128" t="s">
        <v>363</v>
      </c>
    </row>
    <row r="129" spans="4:10" x14ac:dyDescent="0.25">
      <c r="D129" s="136" t="s">
        <v>386</v>
      </c>
      <c r="E129" s="136">
        <v>95</v>
      </c>
      <c r="F129" s="136">
        <v>80</v>
      </c>
      <c r="G129" s="136">
        <v>95000</v>
      </c>
      <c r="H129" s="136">
        <v>150000</v>
      </c>
      <c r="I129" s="136">
        <v>150</v>
      </c>
      <c r="J129" t="s">
        <v>364</v>
      </c>
    </row>
    <row r="130" spans="4:10" x14ac:dyDescent="0.25">
      <c r="D130" s="136" t="s">
        <v>386</v>
      </c>
      <c r="E130" s="136">
        <v>95</v>
      </c>
      <c r="F130" s="136">
        <v>100</v>
      </c>
      <c r="G130" s="136">
        <v>95000</v>
      </c>
      <c r="H130" s="136">
        <v>151000</v>
      </c>
      <c r="I130" s="136">
        <v>150</v>
      </c>
      <c r="J130" t="s">
        <v>88</v>
      </c>
    </row>
    <row r="131" spans="4:10" x14ac:dyDescent="0.25">
      <c r="D131" s="136" t="s">
        <v>386</v>
      </c>
      <c r="E131" s="136">
        <v>95</v>
      </c>
      <c r="F131" s="136">
        <v>125</v>
      </c>
      <c r="G131" s="136">
        <v>95000</v>
      </c>
      <c r="H131" s="136">
        <v>152000</v>
      </c>
      <c r="I131" s="136">
        <v>150</v>
      </c>
      <c r="J131" t="s">
        <v>89</v>
      </c>
    </row>
    <row r="132" spans="4:10" x14ac:dyDescent="0.25">
      <c r="D132" s="136" t="s">
        <v>386</v>
      </c>
      <c r="E132" s="136">
        <v>199</v>
      </c>
      <c r="F132" s="136">
        <v>25</v>
      </c>
      <c r="G132" s="136">
        <v>200000</v>
      </c>
      <c r="H132" s="136">
        <v>270000</v>
      </c>
      <c r="I132" s="136">
        <v>150</v>
      </c>
      <c r="J132" t="s">
        <v>382</v>
      </c>
    </row>
    <row r="133" spans="4:10" x14ac:dyDescent="0.25">
      <c r="D133" s="136" t="s">
        <v>386</v>
      </c>
      <c r="E133" s="136">
        <v>199</v>
      </c>
      <c r="F133" s="136">
        <v>50</v>
      </c>
      <c r="G133" s="136">
        <v>200000</v>
      </c>
      <c r="H133" s="136">
        <v>298000</v>
      </c>
      <c r="I133" s="136">
        <v>150</v>
      </c>
      <c r="J133" t="s">
        <v>383</v>
      </c>
    </row>
    <row r="134" spans="4:10" x14ac:dyDescent="0.25">
      <c r="D134" s="136" t="s">
        <v>386</v>
      </c>
      <c r="E134" s="136">
        <v>199</v>
      </c>
      <c r="F134" s="136">
        <v>63</v>
      </c>
      <c r="G134" s="136">
        <v>200000</v>
      </c>
      <c r="H134" s="136">
        <v>307000</v>
      </c>
      <c r="I134" s="136">
        <v>150</v>
      </c>
      <c r="J134" t="s">
        <v>384</v>
      </c>
    </row>
    <row r="135" spans="4:10" x14ac:dyDescent="0.25">
      <c r="D135" s="136" t="s">
        <v>386</v>
      </c>
      <c r="E135" s="136">
        <v>199</v>
      </c>
      <c r="F135" s="136">
        <v>80</v>
      </c>
      <c r="G135" s="136">
        <v>200000</v>
      </c>
      <c r="H135" s="136">
        <v>315000</v>
      </c>
      <c r="I135" s="136">
        <v>150</v>
      </c>
      <c r="J135" t="s">
        <v>385</v>
      </c>
    </row>
    <row r="136" spans="4:10" x14ac:dyDescent="0.25">
      <c r="D136" s="136" t="s">
        <v>386</v>
      </c>
      <c r="E136" s="136">
        <v>199</v>
      </c>
      <c r="F136" s="136">
        <v>100</v>
      </c>
      <c r="G136" s="136">
        <v>200000</v>
      </c>
      <c r="H136" s="136">
        <v>323000</v>
      </c>
      <c r="I136" s="136">
        <v>150</v>
      </c>
      <c r="J136" t="s">
        <v>169</v>
      </c>
    </row>
    <row r="137" spans="4:10" x14ac:dyDescent="0.25">
      <c r="D137" s="136" t="s">
        <v>386</v>
      </c>
      <c r="E137" s="136">
        <v>199</v>
      </c>
      <c r="F137" s="136">
        <v>125</v>
      </c>
      <c r="G137" s="136">
        <v>200000</v>
      </c>
      <c r="H137" s="136">
        <v>330000</v>
      </c>
      <c r="I137" s="136">
        <v>150</v>
      </c>
      <c r="J137" t="s">
        <v>170</v>
      </c>
    </row>
    <row r="138" spans="4:10" x14ac:dyDescent="0.25">
      <c r="D138" s="136" t="s">
        <v>404</v>
      </c>
      <c r="E138" s="136">
        <v>7.5</v>
      </c>
      <c r="F138" s="136">
        <v>50</v>
      </c>
      <c r="G138" s="136">
        <v>9200</v>
      </c>
      <c r="H138" s="136">
        <v>13200</v>
      </c>
      <c r="I138" s="136">
        <v>150</v>
      </c>
      <c r="J138" t="s">
        <v>387</v>
      </c>
    </row>
    <row r="139" spans="4:10" x14ac:dyDescent="0.25">
      <c r="D139" s="136" t="s">
        <v>404</v>
      </c>
      <c r="E139" s="136">
        <v>7.5</v>
      </c>
      <c r="F139" s="136">
        <v>80</v>
      </c>
      <c r="G139" s="136">
        <v>9200</v>
      </c>
      <c r="H139" s="136">
        <v>13800</v>
      </c>
      <c r="I139" s="136">
        <v>150</v>
      </c>
      <c r="J139" t="s">
        <v>388</v>
      </c>
    </row>
    <row r="140" spans="4:10" x14ac:dyDescent="0.25">
      <c r="D140" s="136" t="s">
        <v>404</v>
      </c>
      <c r="E140" s="136">
        <v>7.5</v>
      </c>
      <c r="F140" s="136">
        <v>100</v>
      </c>
      <c r="G140" s="136">
        <v>9200</v>
      </c>
      <c r="H140" s="136">
        <v>14100</v>
      </c>
      <c r="I140" s="136">
        <v>150</v>
      </c>
      <c r="J140" t="s">
        <v>139</v>
      </c>
    </row>
    <row r="141" spans="4:10" x14ac:dyDescent="0.25">
      <c r="D141" s="136" t="s">
        <v>404</v>
      </c>
      <c r="E141" s="136">
        <v>7.5</v>
      </c>
      <c r="F141" s="136">
        <v>125</v>
      </c>
      <c r="G141" s="136">
        <v>9200</v>
      </c>
      <c r="H141" s="136">
        <v>14300</v>
      </c>
      <c r="I141" s="136">
        <v>150</v>
      </c>
      <c r="J141" t="s">
        <v>140</v>
      </c>
    </row>
    <row r="142" spans="4:10" x14ac:dyDescent="0.25">
      <c r="D142" s="136" t="s">
        <v>404</v>
      </c>
      <c r="E142" s="136">
        <v>7.5</v>
      </c>
      <c r="F142" s="136">
        <v>160</v>
      </c>
      <c r="G142" s="136">
        <v>9200</v>
      </c>
      <c r="H142" s="136">
        <v>14500</v>
      </c>
      <c r="I142" s="136">
        <v>150</v>
      </c>
      <c r="J142" t="s">
        <v>141</v>
      </c>
    </row>
    <row r="143" spans="4:10" x14ac:dyDescent="0.25">
      <c r="D143" s="136" t="s">
        <v>404</v>
      </c>
      <c r="E143" s="136">
        <v>7.5</v>
      </c>
      <c r="F143" s="136">
        <v>200</v>
      </c>
      <c r="G143" s="136">
        <v>9200</v>
      </c>
      <c r="H143" s="136">
        <v>14700</v>
      </c>
      <c r="I143" s="136">
        <v>150</v>
      </c>
      <c r="J143" t="s">
        <v>142</v>
      </c>
    </row>
    <row r="144" spans="4:10" x14ac:dyDescent="0.25">
      <c r="D144" s="136" t="s">
        <v>404</v>
      </c>
      <c r="E144" s="136">
        <v>7.5</v>
      </c>
      <c r="F144" s="136">
        <v>250</v>
      </c>
      <c r="G144" s="136">
        <v>9200</v>
      </c>
      <c r="H144" s="136">
        <v>14800</v>
      </c>
      <c r="I144" s="136">
        <v>150</v>
      </c>
      <c r="J144" t="s">
        <v>143</v>
      </c>
    </row>
    <row r="145" spans="4:10" x14ac:dyDescent="0.25">
      <c r="D145" s="136" t="s">
        <v>404</v>
      </c>
      <c r="E145" s="136">
        <v>7.5</v>
      </c>
      <c r="F145" s="136">
        <v>300</v>
      </c>
      <c r="G145" s="136">
        <v>9200</v>
      </c>
      <c r="H145" s="136">
        <v>14900</v>
      </c>
      <c r="I145" s="136">
        <v>150</v>
      </c>
      <c r="J145" t="s">
        <v>144</v>
      </c>
    </row>
    <row r="146" spans="4:10" x14ac:dyDescent="0.25">
      <c r="D146" s="136" t="s">
        <v>404</v>
      </c>
      <c r="E146" s="136">
        <v>15</v>
      </c>
      <c r="F146" s="136">
        <v>25</v>
      </c>
      <c r="G146" s="136">
        <v>24000</v>
      </c>
      <c r="H146" s="136">
        <v>37100</v>
      </c>
      <c r="I146" s="136">
        <v>150</v>
      </c>
      <c r="J146" t="s">
        <v>389</v>
      </c>
    </row>
    <row r="147" spans="4:10" x14ac:dyDescent="0.25">
      <c r="D147" s="136" t="s">
        <v>404</v>
      </c>
      <c r="E147" s="136">
        <v>15</v>
      </c>
      <c r="F147" s="136">
        <v>50</v>
      </c>
      <c r="G147" s="136">
        <v>24000</v>
      </c>
      <c r="H147" s="136">
        <v>37900</v>
      </c>
      <c r="I147" s="136">
        <v>150</v>
      </c>
      <c r="J147" t="s">
        <v>390</v>
      </c>
    </row>
    <row r="148" spans="4:10" x14ac:dyDescent="0.25">
      <c r="D148" s="136" t="s">
        <v>404</v>
      </c>
      <c r="E148" s="136">
        <v>15</v>
      </c>
      <c r="F148" s="136">
        <v>80</v>
      </c>
      <c r="G148" s="136">
        <v>24000</v>
      </c>
      <c r="H148" s="136">
        <v>38300</v>
      </c>
      <c r="I148" s="136">
        <v>150</v>
      </c>
      <c r="J148" t="s">
        <v>391</v>
      </c>
    </row>
    <row r="149" spans="4:10" x14ac:dyDescent="0.25">
      <c r="D149" s="136" t="s">
        <v>404</v>
      </c>
      <c r="E149" s="136">
        <v>15</v>
      </c>
      <c r="F149" s="136">
        <v>100</v>
      </c>
      <c r="G149" s="136">
        <v>24000</v>
      </c>
      <c r="H149" s="136">
        <v>38500</v>
      </c>
      <c r="I149" s="136">
        <v>150</v>
      </c>
      <c r="J149" t="s">
        <v>145</v>
      </c>
    </row>
    <row r="150" spans="4:10" x14ac:dyDescent="0.25">
      <c r="D150" s="136" t="s">
        <v>404</v>
      </c>
      <c r="E150" s="136">
        <v>15</v>
      </c>
      <c r="F150" s="136">
        <v>125</v>
      </c>
      <c r="G150" s="136">
        <v>24000</v>
      </c>
      <c r="H150" s="136">
        <v>38700</v>
      </c>
      <c r="I150" s="136">
        <v>150</v>
      </c>
      <c r="J150" t="s">
        <v>146</v>
      </c>
    </row>
    <row r="151" spans="4:10" x14ac:dyDescent="0.25">
      <c r="D151" s="136" t="s">
        <v>404</v>
      </c>
      <c r="E151" s="136">
        <v>15</v>
      </c>
      <c r="F151" s="136">
        <v>160</v>
      </c>
      <c r="G151" s="136">
        <v>24000</v>
      </c>
      <c r="H151" s="136">
        <v>38800</v>
      </c>
      <c r="I151" s="136">
        <v>150</v>
      </c>
      <c r="J151" t="s">
        <v>147</v>
      </c>
    </row>
    <row r="152" spans="4:10" x14ac:dyDescent="0.25">
      <c r="D152" s="136" t="s">
        <v>404</v>
      </c>
      <c r="E152" s="136">
        <v>15</v>
      </c>
      <c r="F152" s="136">
        <v>200</v>
      </c>
      <c r="G152" s="136">
        <v>24000</v>
      </c>
      <c r="H152" s="136">
        <v>38900</v>
      </c>
      <c r="I152" s="136">
        <v>150</v>
      </c>
      <c r="J152" t="s">
        <v>148</v>
      </c>
    </row>
    <row r="153" spans="4:10" x14ac:dyDescent="0.25">
      <c r="D153" s="136" t="s">
        <v>404</v>
      </c>
      <c r="E153" s="136">
        <v>15</v>
      </c>
      <c r="F153" s="136">
        <v>250</v>
      </c>
      <c r="G153" s="136">
        <v>24000</v>
      </c>
      <c r="H153" s="136">
        <v>39000</v>
      </c>
      <c r="I153" s="136">
        <v>150</v>
      </c>
      <c r="J153" t="s">
        <v>149</v>
      </c>
    </row>
    <row r="154" spans="4:10" x14ac:dyDescent="0.25">
      <c r="D154" s="136" t="s">
        <v>404</v>
      </c>
      <c r="E154" s="136">
        <v>15</v>
      </c>
      <c r="F154" s="136">
        <v>300</v>
      </c>
      <c r="G154" s="136">
        <v>24000</v>
      </c>
      <c r="H154" s="136">
        <v>39100</v>
      </c>
      <c r="I154" s="136">
        <v>150</v>
      </c>
      <c r="J154" t="s">
        <v>150</v>
      </c>
    </row>
    <row r="155" spans="4:10" x14ac:dyDescent="0.25">
      <c r="D155" s="136" t="s">
        <v>404</v>
      </c>
      <c r="E155" s="136">
        <v>30</v>
      </c>
      <c r="F155" s="136">
        <v>25</v>
      </c>
      <c r="G155" s="136">
        <v>42000</v>
      </c>
      <c r="H155" s="136">
        <v>52100</v>
      </c>
      <c r="I155" s="136">
        <v>150</v>
      </c>
      <c r="J155" t="s">
        <v>392</v>
      </c>
    </row>
    <row r="156" spans="4:10" x14ac:dyDescent="0.25">
      <c r="D156" s="136" t="s">
        <v>404</v>
      </c>
      <c r="E156" s="136">
        <v>30</v>
      </c>
      <c r="F156" s="136">
        <v>50</v>
      </c>
      <c r="G156" s="136">
        <v>42000</v>
      </c>
      <c r="H156" s="136">
        <v>57200</v>
      </c>
      <c r="I156" s="136">
        <v>150</v>
      </c>
      <c r="J156" t="s">
        <v>393</v>
      </c>
    </row>
    <row r="157" spans="4:10" x14ac:dyDescent="0.25">
      <c r="D157" s="136" t="s">
        <v>404</v>
      </c>
      <c r="E157" s="136">
        <v>30</v>
      </c>
      <c r="F157" s="136">
        <v>80</v>
      </c>
      <c r="G157" s="136">
        <v>42000</v>
      </c>
      <c r="H157" s="136">
        <v>60800</v>
      </c>
      <c r="I157" s="136">
        <v>150</v>
      </c>
      <c r="J157" t="s">
        <v>394</v>
      </c>
    </row>
    <row r="158" spans="4:10" x14ac:dyDescent="0.25">
      <c r="D158" s="136" t="s">
        <v>404</v>
      </c>
      <c r="E158" s="136">
        <v>30</v>
      </c>
      <c r="F158" s="136">
        <v>100</v>
      </c>
      <c r="G158" s="136">
        <v>42000</v>
      </c>
      <c r="H158" s="136">
        <v>62500</v>
      </c>
      <c r="I158" s="136">
        <v>150</v>
      </c>
      <c r="J158" t="s">
        <v>151</v>
      </c>
    </row>
    <row r="159" spans="4:10" x14ac:dyDescent="0.25">
      <c r="D159" s="136" t="s">
        <v>404</v>
      </c>
      <c r="E159" s="136">
        <v>30</v>
      </c>
      <c r="F159" s="136">
        <v>125</v>
      </c>
      <c r="G159" s="136">
        <v>42000</v>
      </c>
      <c r="H159" s="136">
        <v>64000</v>
      </c>
      <c r="I159" s="136">
        <v>150</v>
      </c>
      <c r="J159" t="s">
        <v>152</v>
      </c>
    </row>
    <row r="160" spans="4:10" x14ac:dyDescent="0.25">
      <c r="D160" s="136" t="s">
        <v>404</v>
      </c>
      <c r="E160" s="136">
        <v>30</v>
      </c>
      <c r="F160" s="136">
        <v>160</v>
      </c>
      <c r="G160" s="136">
        <v>42000</v>
      </c>
      <c r="H160" s="136">
        <v>65500</v>
      </c>
      <c r="I160" s="136">
        <v>150</v>
      </c>
      <c r="J160" t="s">
        <v>153</v>
      </c>
    </row>
    <row r="161" spans="4:10" x14ac:dyDescent="0.25">
      <c r="D161" s="136" t="s">
        <v>404</v>
      </c>
      <c r="E161" s="136">
        <v>30</v>
      </c>
      <c r="F161" s="136">
        <v>200</v>
      </c>
      <c r="G161" s="136">
        <v>42000</v>
      </c>
      <c r="H161" s="136">
        <v>66800</v>
      </c>
      <c r="I161" s="136">
        <v>150</v>
      </c>
      <c r="J161" t="s">
        <v>154</v>
      </c>
    </row>
    <row r="162" spans="4:10" x14ac:dyDescent="0.25">
      <c r="D162" s="136" t="s">
        <v>404</v>
      </c>
      <c r="E162" s="136">
        <v>30</v>
      </c>
      <c r="F162" s="136">
        <v>250</v>
      </c>
      <c r="G162" s="136">
        <v>42000</v>
      </c>
      <c r="H162" s="136">
        <v>67900</v>
      </c>
      <c r="I162" s="136">
        <v>150</v>
      </c>
      <c r="J162" t="s">
        <v>155</v>
      </c>
    </row>
    <row r="163" spans="4:10" x14ac:dyDescent="0.25">
      <c r="D163" s="136" t="s">
        <v>404</v>
      </c>
      <c r="E163" s="136">
        <v>30</v>
      </c>
      <c r="F163" s="136">
        <v>300</v>
      </c>
      <c r="G163" s="136">
        <v>42000</v>
      </c>
      <c r="H163" s="136">
        <v>68700</v>
      </c>
      <c r="I163" s="136">
        <v>150</v>
      </c>
      <c r="J163" t="s">
        <v>156</v>
      </c>
    </row>
    <row r="164" spans="4:10" x14ac:dyDescent="0.25">
      <c r="D164" s="136" t="s">
        <v>404</v>
      </c>
      <c r="E164" s="136">
        <v>50</v>
      </c>
      <c r="F164" s="136">
        <v>25</v>
      </c>
      <c r="G164" s="136">
        <v>66300</v>
      </c>
      <c r="H164" s="136">
        <v>79500</v>
      </c>
      <c r="I164" s="136">
        <v>150</v>
      </c>
      <c r="J164" t="s">
        <v>395</v>
      </c>
    </row>
    <row r="165" spans="4:10" x14ac:dyDescent="0.25">
      <c r="D165" s="136" t="s">
        <v>404</v>
      </c>
      <c r="E165" s="136">
        <v>50</v>
      </c>
      <c r="F165" s="136">
        <v>50</v>
      </c>
      <c r="G165" s="136">
        <v>66300</v>
      </c>
      <c r="H165" s="136">
        <v>87000</v>
      </c>
      <c r="I165" s="136">
        <v>150</v>
      </c>
      <c r="J165" t="s">
        <v>396</v>
      </c>
    </row>
    <row r="166" spans="4:10" x14ac:dyDescent="0.25">
      <c r="D166" s="136" t="s">
        <v>404</v>
      </c>
      <c r="E166" s="136">
        <v>50</v>
      </c>
      <c r="F166" s="136">
        <v>80</v>
      </c>
      <c r="G166" s="136">
        <v>66300</v>
      </c>
      <c r="H166" s="136">
        <v>92600</v>
      </c>
      <c r="I166" s="136">
        <v>150</v>
      </c>
      <c r="J166" t="s">
        <v>397</v>
      </c>
    </row>
    <row r="167" spans="4:10" x14ac:dyDescent="0.25">
      <c r="D167" s="136" t="s">
        <v>404</v>
      </c>
      <c r="E167" s="136">
        <v>50</v>
      </c>
      <c r="F167" s="136">
        <v>100</v>
      </c>
      <c r="G167" s="136">
        <v>66300</v>
      </c>
      <c r="H167" s="136">
        <v>95100</v>
      </c>
      <c r="I167" s="136">
        <v>150</v>
      </c>
      <c r="J167" t="s">
        <v>157</v>
      </c>
    </row>
    <row r="168" spans="4:10" x14ac:dyDescent="0.25">
      <c r="D168" s="136" t="s">
        <v>404</v>
      </c>
      <c r="E168" s="136">
        <v>50</v>
      </c>
      <c r="F168" s="136">
        <v>125</v>
      </c>
      <c r="G168" s="136">
        <v>66300</v>
      </c>
      <c r="H168" s="136">
        <v>97600</v>
      </c>
      <c r="I168" s="136">
        <v>150</v>
      </c>
      <c r="J168" t="s">
        <v>158</v>
      </c>
    </row>
    <row r="169" spans="4:10" x14ac:dyDescent="0.25">
      <c r="D169" s="136" t="s">
        <v>404</v>
      </c>
      <c r="E169" s="136">
        <v>50</v>
      </c>
      <c r="F169" s="136">
        <v>160</v>
      </c>
      <c r="G169" s="136">
        <v>66300</v>
      </c>
      <c r="H169" s="136">
        <v>100100</v>
      </c>
      <c r="I169" s="136">
        <v>150</v>
      </c>
      <c r="J169" t="s">
        <v>159</v>
      </c>
    </row>
    <row r="170" spans="4:10" x14ac:dyDescent="0.25">
      <c r="D170" s="136" t="s">
        <v>404</v>
      </c>
      <c r="E170" s="136">
        <v>50</v>
      </c>
      <c r="F170" s="136">
        <v>200</v>
      </c>
      <c r="G170" s="136">
        <v>66300</v>
      </c>
      <c r="H170" s="136">
        <v>102200</v>
      </c>
      <c r="I170" s="136">
        <v>150</v>
      </c>
      <c r="J170" t="s">
        <v>160</v>
      </c>
    </row>
    <row r="171" spans="4:10" x14ac:dyDescent="0.25">
      <c r="D171" s="136" t="s">
        <v>404</v>
      </c>
      <c r="E171" s="136">
        <v>50</v>
      </c>
      <c r="F171" s="136">
        <v>250</v>
      </c>
      <c r="G171" s="136">
        <v>66300</v>
      </c>
      <c r="H171" s="136">
        <v>104000</v>
      </c>
      <c r="I171" s="136">
        <v>150</v>
      </c>
      <c r="J171" t="s">
        <v>161</v>
      </c>
    </row>
    <row r="172" spans="4:10" x14ac:dyDescent="0.25">
      <c r="D172" s="136" t="s">
        <v>404</v>
      </c>
      <c r="E172" s="136">
        <v>50</v>
      </c>
      <c r="F172" s="136">
        <v>300</v>
      </c>
      <c r="G172" s="136">
        <v>66300</v>
      </c>
      <c r="H172" s="136">
        <v>105300</v>
      </c>
      <c r="I172" s="136">
        <v>150</v>
      </c>
      <c r="J172" t="s">
        <v>162</v>
      </c>
    </row>
    <row r="173" spans="4:10" x14ac:dyDescent="0.25">
      <c r="D173" s="136" t="s">
        <v>404</v>
      </c>
      <c r="E173" s="136">
        <v>75</v>
      </c>
      <c r="F173" s="136">
        <v>25</v>
      </c>
      <c r="G173" s="136">
        <v>95000</v>
      </c>
      <c r="H173" s="136">
        <v>113200</v>
      </c>
      <c r="I173" s="136">
        <v>150</v>
      </c>
      <c r="J173" t="s">
        <v>398</v>
      </c>
    </row>
    <row r="174" spans="4:10" x14ac:dyDescent="0.25">
      <c r="D174" s="136" t="s">
        <v>404</v>
      </c>
      <c r="E174" s="136">
        <v>75</v>
      </c>
      <c r="F174" s="136">
        <v>50</v>
      </c>
      <c r="G174" s="136">
        <v>95000</v>
      </c>
      <c r="H174" s="136">
        <v>123300</v>
      </c>
      <c r="I174" s="136">
        <v>150</v>
      </c>
      <c r="J174" t="s">
        <v>399</v>
      </c>
    </row>
    <row r="175" spans="4:10" x14ac:dyDescent="0.25">
      <c r="D175" s="136" t="s">
        <v>404</v>
      </c>
      <c r="E175" s="136">
        <v>75</v>
      </c>
      <c r="F175" s="136">
        <v>80</v>
      </c>
      <c r="G175" s="136">
        <v>95000</v>
      </c>
      <c r="H175" s="136">
        <v>130800</v>
      </c>
      <c r="I175" s="136">
        <v>150</v>
      </c>
      <c r="J175" t="s">
        <v>400</v>
      </c>
    </row>
    <row r="176" spans="4:10" x14ac:dyDescent="0.25">
      <c r="D176" s="136" t="s">
        <v>404</v>
      </c>
      <c r="E176" s="136">
        <v>75</v>
      </c>
      <c r="F176" s="136">
        <v>100</v>
      </c>
      <c r="G176" s="136">
        <v>95000</v>
      </c>
      <c r="H176" s="136">
        <v>134300</v>
      </c>
      <c r="I176" s="136">
        <v>150</v>
      </c>
      <c r="J176" t="s">
        <v>163</v>
      </c>
    </row>
    <row r="177" spans="4:10" x14ac:dyDescent="0.25">
      <c r="D177" s="136" t="s">
        <v>404</v>
      </c>
      <c r="E177" s="136">
        <v>75</v>
      </c>
      <c r="F177" s="136">
        <v>125</v>
      </c>
      <c r="G177" s="136">
        <v>95000</v>
      </c>
      <c r="H177" s="136">
        <v>137600</v>
      </c>
      <c r="I177" s="136">
        <v>150</v>
      </c>
      <c r="J177" t="s">
        <v>164</v>
      </c>
    </row>
    <row r="178" spans="4:10" x14ac:dyDescent="0.25">
      <c r="D178" s="136" t="s">
        <v>404</v>
      </c>
      <c r="E178" s="136">
        <v>75</v>
      </c>
      <c r="F178" s="136">
        <v>160</v>
      </c>
      <c r="G178" s="136">
        <v>95000</v>
      </c>
      <c r="H178" s="136">
        <v>141000</v>
      </c>
      <c r="I178" s="136">
        <v>150</v>
      </c>
      <c r="J178" t="s">
        <v>165</v>
      </c>
    </row>
    <row r="179" spans="4:10" x14ac:dyDescent="0.25">
      <c r="D179" s="136" t="s">
        <v>404</v>
      </c>
      <c r="E179" s="136">
        <v>75</v>
      </c>
      <c r="F179" s="136">
        <v>200</v>
      </c>
      <c r="G179" s="136">
        <v>95000</v>
      </c>
      <c r="H179" s="136">
        <v>143800</v>
      </c>
      <c r="I179" s="136">
        <v>150</v>
      </c>
      <c r="J179" t="s">
        <v>166</v>
      </c>
    </row>
    <row r="180" spans="4:10" x14ac:dyDescent="0.25">
      <c r="D180" s="136" t="s">
        <v>404</v>
      </c>
      <c r="E180" s="136">
        <v>75</v>
      </c>
      <c r="F180" s="136">
        <v>250</v>
      </c>
      <c r="G180" s="136">
        <v>95000</v>
      </c>
      <c r="H180" s="136">
        <v>146300</v>
      </c>
      <c r="I180" s="136">
        <v>150</v>
      </c>
      <c r="J180" t="s">
        <v>167</v>
      </c>
    </row>
    <row r="181" spans="4:10" x14ac:dyDescent="0.25">
      <c r="D181" s="136" t="s">
        <v>404</v>
      </c>
      <c r="E181" s="136">
        <v>75</v>
      </c>
      <c r="F181" s="136">
        <v>300</v>
      </c>
      <c r="G181" s="136">
        <v>95000</v>
      </c>
      <c r="H181" s="136">
        <v>148200</v>
      </c>
      <c r="I181" s="136">
        <v>150</v>
      </c>
      <c r="J181" t="s">
        <v>168</v>
      </c>
    </row>
    <row r="182" spans="4:10" x14ac:dyDescent="0.25">
      <c r="D182" s="136" t="s">
        <v>404</v>
      </c>
      <c r="E182" s="136">
        <v>100</v>
      </c>
      <c r="F182" s="136">
        <v>25</v>
      </c>
      <c r="G182" s="136">
        <v>200000</v>
      </c>
      <c r="H182" s="136">
        <v>242000</v>
      </c>
      <c r="I182" s="136">
        <v>150</v>
      </c>
      <c r="J182" t="s">
        <v>401</v>
      </c>
    </row>
    <row r="183" spans="4:10" x14ac:dyDescent="0.25">
      <c r="D183" s="136" t="s">
        <v>404</v>
      </c>
      <c r="E183" s="136">
        <v>100</v>
      </c>
      <c r="F183" s="136">
        <v>50</v>
      </c>
      <c r="G183" s="136">
        <v>200000</v>
      </c>
      <c r="H183" s="136">
        <v>266800</v>
      </c>
      <c r="I183" s="136">
        <v>150</v>
      </c>
      <c r="J183" t="s">
        <v>402</v>
      </c>
    </row>
    <row r="184" spans="4:10" x14ac:dyDescent="0.25">
      <c r="D184" s="136" t="s">
        <v>404</v>
      </c>
      <c r="E184" s="136">
        <v>100</v>
      </c>
      <c r="F184" s="136">
        <v>80</v>
      </c>
      <c r="G184" s="136">
        <v>200000</v>
      </c>
      <c r="H184" s="136">
        <v>285700</v>
      </c>
      <c r="I184" s="136">
        <v>150</v>
      </c>
      <c r="J184" t="s">
        <v>403</v>
      </c>
    </row>
    <row r="185" spans="4:10" x14ac:dyDescent="0.25">
      <c r="D185" s="136" t="s">
        <v>404</v>
      </c>
      <c r="E185" s="136">
        <v>100</v>
      </c>
      <c r="F185" s="136">
        <v>100</v>
      </c>
      <c r="G185" s="136">
        <v>200000</v>
      </c>
      <c r="H185" s="136">
        <v>294600</v>
      </c>
      <c r="I185" s="136">
        <v>150</v>
      </c>
      <c r="J185" t="s">
        <v>133</v>
      </c>
    </row>
    <row r="186" spans="4:10" x14ac:dyDescent="0.25">
      <c r="D186" s="136" t="s">
        <v>404</v>
      </c>
      <c r="E186" s="136">
        <v>100</v>
      </c>
      <c r="F186" s="136">
        <v>125</v>
      </c>
      <c r="G186" s="136">
        <v>200000</v>
      </c>
      <c r="H186" s="136">
        <v>303100</v>
      </c>
      <c r="I186" s="136">
        <v>150</v>
      </c>
      <c r="J186" t="s">
        <v>134</v>
      </c>
    </row>
    <row r="187" spans="4:10" x14ac:dyDescent="0.25">
      <c r="D187" s="136" t="s">
        <v>404</v>
      </c>
      <c r="E187" s="136">
        <v>100</v>
      </c>
      <c r="F187" s="136">
        <v>160</v>
      </c>
      <c r="G187" s="136">
        <v>200000</v>
      </c>
      <c r="H187" s="136">
        <v>312000</v>
      </c>
      <c r="I187" s="136">
        <v>150</v>
      </c>
      <c r="J187" t="s">
        <v>135</v>
      </c>
    </row>
    <row r="188" spans="4:10" x14ac:dyDescent="0.25">
      <c r="D188" s="136" t="s">
        <v>404</v>
      </c>
      <c r="E188" s="136">
        <v>100</v>
      </c>
      <c r="F188" s="136">
        <v>200</v>
      </c>
      <c r="G188" s="136">
        <v>200000</v>
      </c>
      <c r="H188" s="136">
        <v>319000</v>
      </c>
      <c r="I188" s="136">
        <v>150</v>
      </c>
      <c r="J188" t="s">
        <v>136</v>
      </c>
    </row>
    <row r="189" spans="4:10" x14ac:dyDescent="0.25">
      <c r="D189" s="136" t="s">
        <v>404</v>
      </c>
      <c r="E189" s="136">
        <v>100</v>
      </c>
      <c r="F189" s="136">
        <v>250</v>
      </c>
      <c r="G189" s="136">
        <v>200000</v>
      </c>
      <c r="H189" s="136">
        <v>325600</v>
      </c>
      <c r="I189" s="136">
        <v>150</v>
      </c>
      <c r="J189" t="s">
        <v>137</v>
      </c>
    </row>
    <row r="190" spans="4:10" x14ac:dyDescent="0.25">
      <c r="D190" s="136" t="s">
        <v>404</v>
      </c>
      <c r="E190" s="136">
        <v>100</v>
      </c>
      <c r="F190" s="136">
        <v>300</v>
      </c>
      <c r="G190" s="136">
        <v>200000</v>
      </c>
      <c r="H190" s="136">
        <v>330600</v>
      </c>
      <c r="I190" s="136">
        <v>150</v>
      </c>
      <c r="J190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6"/>
  <dimension ref="A2:J35"/>
  <sheetViews>
    <sheetView workbookViewId="0">
      <selection activeCell="C33" sqref="C33"/>
    </sheetView>
  </sheetViews>
  <sheetFormatPr defaultRowHeight="15" x14ac:dyDescent="0.25"/>
  <cols>
    <col min="1" max="1" width="23.5703125" customWidth="1"/>
    <col min="2" max="2" width="16.85546875" customWidth="1"/>
    <col min="3" max="3" width="25.5703125" customWidth="1"/>
  </cols>
  <sheetData>
    <row r="2" spans="1:7" x14ac:dyDescent="0.25">
      <c r="A2" s="6"/>
      <c r="B2" s="6"/>
      <c r="C2" s="6"/>
      <c r="D2" s="8"/>
    </row>
    <row r="3" spans="1:7" x14ac:dyDescent="0.25">
      <c r="A3" s="6"/>
      <c r="B3" s="6"/>
      <c r="C3" s="6"/>
      <c r="D3" s="8"/>
    </row>
    <row r="4" spans="1:7" ht="6.75" customHeight="1" x14ac:dyDescent="0.25">
      <c r="A4" s="6"/>
      <c r="B4" s="6"/>
      <c r="C4" s="6"/>
      <c r="D4" s="8"/>
    </row>
    <row r="5" spans="1:7" x14ac:dyDescent="0.25">
      <c r="A5" s="6"/>
      <c r="B5" s="6"/>
      <c r="C5" s="6"/>
      <c r="D5" s="8"/>
    </row>
    <row r="6" spans="1:7" x14ac:dyDescent="0.25">
      <c r="A6" s="6"/>
      <c r="B6" s="6"/>
      <c r="C6" s="6"/>
      <c r="D6" s="8"/>
    </row>
    <row r="7" spans="1:7" x14ac:dyDescent="0.25">
      <c r="A7" s="5"/>
      <c r="B7" s="5"/>
      <c r="C7" s="5"/>
      <c r="D7" s="8"/>
    </row>
    <row r="8" spans="1:7" x14ac:dyDescent="0.25">
      <c r="A8" s="5"/>
      <c r="B8" s="5"/>
      <c r="C8" s="5"/>
      <c r="D8" s="8"/>
    </row>
    <row r="9" spans="1:7" x14ac:dyDescent="0.25">
      <c r="D9" s="1"/>
    </row>
    <row r="10" spans="1:7" x14ac:dyDescent="0.25">
      <c r="B10" s="2"/>
      <c r="C10" s="2"/>
      <c r="D10" s="9"/>
    </row>
    <row r="11" spans="1:7" x14ac:dyDescent="0.25">
      <c r="B11" s="2"/>
      <c r="C11" s="2"/>
      <c r="D11" s="9"/>
    </row>
    <row r="12" spans="1:7" x14ac:dyDescent="0.25">
      <c r="A12" t="s">
        <v>21</v>
      </c>
      <c r="B12" s="4"/>
      <c r="C12" s="2"/>
      <c r="D12" s="9"/>
    </row>
    <row r="13" spans="1:7" x14ac:dyDescent="0.25">
      <c r="D13" s="1"/>
    </row>
    <row r="14" spans="1:7" x14ac:dyDescent="0.25">
      <c r="D14" s="1"/>
    </row>
    <row r="15" spans="1:7" x14ac:dyDescent="0.25">
      <c r="C15" t="s">
        <v>22</v>
      </c>
      <c r="D15" s="1"/>
      <c r="E15" s="2"/>
    </row>
    <row r="16" spans="1:7" x14ac:dyDescent="0.25">
      <c r="B16">
        <v>1</v>
      </c>
      <c r="C16" s="10" t="s">
        <v>23</v>
      </c>
      <c r="D16" s="11">
        <v>1</v>
      </c>
      <c r="E16" s="2"/>
      <c r="G16" s="2"/>
    </row>
    <row r="17" spans="1:10" x14ac:dyDescent="0.25">
      <c r="A17" s="12" t="s">
        <v>24</v>
      </c>
      <c r="B17" s="144">
        <f>INDEX(D16:D17,B16)</f>
        <v>1</v>
      </c>
      <c r="C17" s="14" t="s">
        <v>25</v>
      </c>
      <c r="D17" s="15">
        <v>14.503773799999999</v>
      </c>
      <c r="E17" s="2"/>
      <c r="H17">
        <v>150</v>
      </c>
      <c r="I17" t="s">
        <v>23</v>
      </c>
      <c r="J17">
        <f>H17*B17</f>
        <v>150</v>
      </c>
    </row>
    <row r="18" spans="1:10" x14ac:dyDescent="0.25">
      <c r="B18" s="13" t="str">
        <f>INDEX(C16:C17,B16)</f>
        <v>bar</v>
      </c>
      <c r="E18" s="2"/>
    </row>
    <row r="19" spans="1:10" x14ac:dyDescent="0.25">
      <c r="A19" s="2"/>
      <c r="B19" s="2"/>
      <c r="D19" s="9"/>
      <c r="E19" s="2"/>
    </row>
    <row r="20" spans="1:10" x14ac:dyDescent="0.25">
      <c r="A20" s="2"/>
      <c r="B20" s="2"/>
      <c r="C20" s="2"/>
      <c r="D20" s="9"/>
      <c r="E20" s="2"/>
    </row>
    <row r="21" spans="1:10" x14ac:dyDescent="0.25">
      <c r="C21" t="s">
        <v>26</v>
      </c>
      <c r="D21" s="1"/>
    </row>
    <row r="22" spans="1:10" x14ac:dyDescent="0.25">
      <c r="B22" s="11">
        <v>1</v>
      </c>
      <c r="C22" s="16" t="s">
        <v>20</v>
      </c>
      <c r="D22" s="11">
        <v>1</v>
      </c>
    </row>
    <row r="23" spans="1:10" x14ac:dyDescent="0.25">
      <c r="A23" s="12" t="s">
        <v>24</v>
      </c>
      <c r="B23" s="13">
        <f>INDEX(D22:D23,B22)</f>
        <v>1</v>
      </c>
      <c r="C23" s="17" t="s">
        <v>27</v>
      </c>
      <c r="D23" s="15">
        <v>224.80889999999999</v>
      </c>
    </row>
    <row r="24" spans="1:10" x14ac:dyDescent="0.25">
      <c r="B24" s="13" t="str">
        <f>INDEX(C22:C23,B22)</f>
        <v>kN</v>
      </c>
    </row>
    <row r="28" spans="1:10" x14ac:dyDescent="0.25">
      <c r="B28">
        <v>2</v>
      </c>
      <c r="C28" t="s">
        <v>275</v>
      </c>
    </row>
    <row r="29" spans="1:10" x14ac:dyDescent="0.25">
      <c r="C29" t="s">
        <v>276</v>
      </c>
    </row>
    <row r="32" spans="1:10" x14ac:dyDescent="0.25">
      <c r="C32" t="s">
        <v>1053</v>
      </c>
      <c r="E32" t="s">
        <v>1054</v>
      </c>
    </row>
    <row r="33" spans="1:5" x14ac:dyDescent="0.25">
      <c r="B33">
        <v>1</v>
      </c>
      <c r="C33" s="11" t="s">
        <v>1060</v>
      </c>
      <c r="D33">
        <v>0</v>
      </c>
      <c r="E33" t="s">
        <v>1059</v>
      </c>
    </row>
    <row r="34" spans="1:5" x14ac:dyDescent="0.25">
      <c r="A34" t="s">
        <v>1056</v>
      </c>
      <c r="B34" s="215">
        <f>INDEX(D33:D34,B33)</f>
        <v>0</v>
      </c>
      <c r="C34" s="11" t="s">
        <v>1055</v>
      </c>
      <c r="D34">
        <v>3</v>
      </c>
      <c r="E34" t="s">
        <v>1058</v>
      </c>
    </row>
    <row r="35" spans="1:5" x14ac:dyDescent="0.25">
      <c r="A35" t="s">
        <v>1057</v>
      </c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95250</xdr:rowOff>
                  </from>
                  <to>
                    <xdr:col>2</xdr:col>
                    <xdr:colOff>161925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5</xdr:row>
                    <xdr:rowOff>152400</xdr:rowOff>
                  </from>
                  <to>
                    <xdr:col>2</xdr:col>
                    <xdr:colOff>161925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C1:AH56"/>
  <sheetViews>
    <sheetView zoomScale="70" zoomScaleNormal="70" workbookViewId="0">
      <selection activeCell="G54" sqref="G54"/>
    </sheetView>
  </sheetViews>
  <sheetFormatPr defaultRowHeight="15" x14ac:dyDescent="0.25"/>
  <cols>
    <col min="3" max="3" width="40.42578125" customWidth="1"/>
    <col min="4" max="4" width="17.140625" customWidth="1"/>
    <col min="6" max="6" width="26.5703125" customWidth="1"/>
    <col min="11" max="11" width="13.42578125" customWidth="1"/>
    <col min="12" max="12" width="15.42578125" customWidth="1"/>
    <col min="13" max="13" width="13.85546875" customWidth="1"/>
    <col min="14" max="14" width="15.140625" customWidth="1"/>
    <col min="15" max="15" width="13.42578125" customWidth="1"/>
    <col min="16" max="16" width="18.140625" customWidth="1"/>
    <col min="17" max="17" width="17.140625" customWidth="1"/>
    <col min="18" max="18" width="26.42578125" customWidth="1"/>
    <col min="19" max="19" width="53" customWidth="1"/>
    <col min="20" max="20" width="40.28515625" customWidth="1"/>
    <col min="21" max="21" width="43.140625" customWidth="1"/>
    <col min="22" max="22" width="51.85546875" customWidth="1"/>
    <col min="33" max="33" width="27.5703125" customWidth="1"/>
    <col min="34" max="34" width="48.85546875" bestFit="1" customWidth="1"/>
  </cols>
  <sheetData>
    <row r="1" spans="3:34" x14ac:dyDescent="0.25">
      <c r="C1" s="145" t="s">
        <v>429</v>
      </c>
    </row>
    <row r="2" spans="3:34" x14ac:dyDescent="0.25">
      <c r="C2" s="147">
        <v>42528</v>
      </c>
    </row>
    <row r="3" spans="3:34" x14ac:dyDescent="0.25">
      <c r="C3" s="3"/>
    </row>
    <row r="4" spans="3:34" x14ac:dyDescent="0.25">
      <c r="C4" s="3"/>
    </row>
    <row r="5" spans="3:34" x14ac:dyDescent="0.25">
      <c r="C5" s="3"/>
    </row>
    <row r="7" spans="3:34" x14ac:dyDescent="0.25">
      <c r="D7" s="5"/>
      <c r="E7" t="s">
        <v>57</v>
      </c>
      <c r="L7" t="s">
        <v>28</v>
      </c>
      <c r="N7" s="18"/>
    </row>
    <row r="9" spans="3:34" x14ac:dyDescent="0.25">
      <c r="C9" t="s">
        <v>3</v>
      </c>
      <c r="D9" s="5">
        <f>Calculator!N2</f>
        <v>2650</v>
      </c>
      <c r="E9" t="s">
        <v>29</v>
      </c>
      <c r="F9" t="s">
        <v>410</v>
      </c>
      <c r="L9" t="s">
        <v>30</v>
      </c>
      <c r="Q9" t="s">
        <v>415</v>
      </c>
    </row>
    <row r="10" spans="3:34" x14ac:dyDescent="0.25">
      <c r="C10" t="s">
        <v>4</v>
      </c>
      <c r="D10" s="5">
        <f>Calculator!O2</f>
        <v>3500</v>
      </c>
      <c r="E10" t="s">
        <v>29</v>
      </c>
      <c r="F10" t="s">
        <v>409</v>
      </c>
      <c r="M10" t="s">
        <v>31</v>
      </c>
      <c r="N10" t="s">
        <v>32</v>
      </c>
      <c r="O10" t="s">
        <v>33</v>
      </c>
      <c r="P10" t="s">
        <v>34</v>
      </c>
      <c r="Q10" t="s">
        <v>417</v>
      </c>
      <c r="R10" t="s">
        <v>408</v>
      </c>
      <c r="S10" t="s">
        <v>421</v>
      </c>
      <c r="T10" t="s">
        <v>420</v>
      </c>
      <c r="U10" t="s">
        <v>1061</v>
      </c>
      <c r="V10" t="s">
        <v>1062</v>
      </c>
      <c r="AA10" t="s">
        <v>405</v>
      </c>
      <c r="AG10" s="218" t="str">
        <f ca="1">OFFSET(R10,0,'Unit conv'!$B$34,1,1)</f>
        <v>Isothermal force at 20 °C</v>
      </c>
      <c r="AH10" s="218" t="str">
        <f ca="1">OFFSET(S10,0,'Unit conv'!$B$34,1,1)</f>
        <v>Isothermal force at estimated running temperature</v>
      </c>
    </row>
    <row r="11" spans="3:34" x14ac:dyDescent="0.25">
      <c r="C11" t="s">
        <v>35</v>
      </c>
      <c r="D11" s="5">
        <f>Calculator!M2</f>
        <v>10</v>
      </c>
      <c r="E11" t="s">
        <v>19</v>
      </c>
      <c r="L11">
        <v>0</v>
      </c>
      <c r="M11" s="217">
        <f t="shared" ref="M11:M21" si="0">L11*$D$14</f>
        <v>0</v>
      </c>
      <c r="N11" s="18">
        <f t="shared" ref="N11:N21" si="1">$D$26-M11</f>
        <v>41.176470588235304</v>
      </c>
      <c r="O11" s="20">
        <f t="shared" ref="O11:O21" si="2">$D$26/N11</f>
        <v>1</v>
      </c>
      <c r="P11" s="20">
        <f t="shared" ref="P11:P21" si="3">O11^$D$35</f>
        <v>1</v>
      </c>
      <c r="Q11" s="18">
        <f t="shared" ref="Q11:Q21" si="4">$D$45*O11</f>
        <v>2.65</v>
      </c>
      <c r="R11" s="142">
        <f t="shared" ref="R11:R21" si="5">Q11*$D$15</f>
        <v>2.65</v>
      </c>
      <c r="S11" s="142">
        <f t="shared" ref="S11:S21" si="6">R11*$AA$17</f>
        <v>2.7191670794911036</v>
      </c>
      <c r="T11" s="18">
        <f t="shared" ref="T11:T21" si="7">$D$45*P11</f>
        <v>2.65</v>
      </c>
      <c r="U11" s="216">
        <f t="shared" ref="U11:U21" si="8">$D$15*T11</f>
        <v>2.65</v>
      </c>
      <c r="V11" s="216">
        <f>U11*$AA$17</f>
        <v>2.7191670794911036</v>
      </c>
      <c r="AA11" s="142">
        <f>Calculator!K10</f>
        <v>22.647529921091891</v>
      </c>
      <c r="AG11" s="218">
        <f ca="1">OFFSET(R11,0,'Unit conv'!$B$34,1,1)</f>
        <v>2.65</v>
      </c>
      <c r="AH11" s="218">
        <f ca="1">OFFSET(S11,0,'Unit conv'!$B$34,1,1)</f>
        <v>2.7191670794911036</v>
      </c>
    </row>
    <row r="12" spans="3:34" x14ac:dyDescent="0.25">
      <c r="C12" s="145" t="s">
        <v>431</v>
      </c>
      <c r="D12" s="145">
        <f>Calculator!X18</f>
        <v>10</v>
      </c>
      <c r="E12" t="s">
        <v>19</v>
      </c>
      <c r="L12">
        <v>0.1</v>
      </c>
      <c r="M12" s="217">
        <f t="shared" si="0"/>
        <v>1</v>
      </c>
      <c r="N12" s="18">
        <f t="shared" si="1"/>
        <v>40.176470588235304</v>
      </c>
      <c r="O12" s="20">
        <f t="shared" si="2"/>
        <v>1.0248901903367496</v>
      </c>
      <c r="P12" s="20">
        <f t="shared" si="3"/>
        <v>1.0350188774795315</v>
      </c>
      <c r="Q12" s="18">
        <f t="shared" si="4"/>
        <v>2.7159590043923862</v>
      </c>
      <c r="R12" s="142">
        <f t="shared" si="5"/>
        <v>2.7159590043923862</v>
      </c>
      <c r="S12" s="142">
        <f t="shared" si="6"/>
        <v>2.7868476656570609</v>
      </c>
      <c r="T12" s="18">
        <f t="shared" si="7"/>
        <v>2.7428000253207583</v>
      </c>
      <c r="U12" s="216">
        <f t="shared" si="8"/>
        <v>2.7428000253207583</v>
      </c>
      <c r="V12" s="216">
        <f t="shared" ref="V12:V21" si="9">U12*$AA$17</f>
        <v>2.8143892582941783</v>
      </c>
      <c r="AA12" s="142">
        <f>Calculator!K15</f>
        <v>32.647529921091888</v>
      </c>
      <c r="AG12" s="218">
        <f ca="1">OFFSET(R12,0,'Unit conv'!$B$34,1,1)</f>
        <v>2.7159590043923862</v>
      </c>
      <c r="AH12" s="218">
        <f ca="1">OFFSET(S12,0,'Unit conv'!$B$34,1,1)</f>
        <v>2.7868476656570609</v>
      </c>
    </row>
    <row r="13" spans="3:34" x14ac:dyDescent="0.25">
      <c r="C13" s="145" t="s">
        <v>432</v>
      </c>
      <c r="D13" s="145">
        <f>IF(D12&gt;D11,D11,D12)</f>
        <v>10</v>
      </c>
      <c r="E13" t="s">
        <v>19</v>
      </c>
      <c r="L13">
        <v>0.2</v>
      </c>
      <c r="M13" s="217">
        <f t="shared" si="0"/>
        <v>2</v>
      </c>
      <c r="N13" s="18">
        <f t="shared" si="1"/>
        <v>39.176470588235304</v>
      </c>
      <c r="O13" s="20">
        <f t="shared" si="2"/>
        <v>1.0510510510510511</v>
      </c>
      <c r="P13" s="20">
        <f t="shared" si="3"/>
        <v>1.0721939076620992</v>
      </c>
      <c r="Q13" s="18">
        <f t="shared" si="4"/>
        <v>2.7852852852852852</v>
      </c>
      <c r="R13" s="142">
        <f t="shared" si="5"/>
        <v>2.7852852852852852</v>
      </c>
      <c r="S13" s="142">
        <f t="shared" si="6"/>
        <v>2.8579834168825413</v>
      </c>
      <c r="T13" s="18">
        <f t="shared" si="7"/>
        <v>2.8413138553045627</v>
      </c>
      <c r="U13" s="216">
        <f t="shared" si="8"/>
        <v>2.8413138553045627</v>
      </c>
      <c r="V13" s="216">
        <f t="shared" si="9"/>
        <v>2.9154743765457045</v>
      </c>
      <c r="AA13" t="s">
        <v>406</v>
      </c>
      <c r="AG13" s="218">
        <f ca="1">OFFSET(R13,0,'Unit conv'!$B$34,1,1)</f>
        <v>2.7852852852852852</v>
      </c>
      <c r="AH13" s="218">
        <f ca="1">OFFSET(S13,0,'Unit conv'!$B$34,1,1)</f>
        <v>2.8579834168825413</v>
      </c>
    </row>
    <row r="14" spans="3:34" x14ac:dyDescent="0.25">
      <c r="C14" t="s">
        <v>36</v>
      </c>
      <c r="D14" s="21">
        <f>D13</f>
        <v>10</v>
      </c>
      <c r="E14" t="s">
        <v>19</v>
      </c>
      <c r="L14">
        <v>0.3</v>
      </c>
      <c r="M14" s="217">
        <f t="shared" si="0"/>
        <v>3</v>
      </c>
      <c r="N14" s="18">
        <f t="shared" si="1"/>
        <v>38.176470588235304</v>
      </c>
      <c r="O14" s="20">
        <f t="shared" si="2"/>
        <v>1.078582434514638</v>
      </c>
      <c r="P14" s="20">
        <f t="shared" si="3"/>
        <v>1.1117181102047662</v>
      </c>
      <c r="Q14" s="18">
        <f t="shared" si="4"/>
        <v>2.8582434514637907</v>
      </c>
      <c r="R14" s="142">
        <f t="shared" si="5"/>
        <v>2.8582434514637907</v>
      </c>
      <c r="S14" s="142">
        <f t="shared" si="6"/>
        <v>2.9328458484495727</v>
      </c>
      <c r="T14" s="18">
        <f t="shared" si="7"/>
        <v>2.9460529920426302</v>
      </c>
      <c r="U14" s="216">
        <f t="shared" si="8"/>
        <v>2.9460529920426302</v>
      </c>
      <c r="V14" s="216">
        <f t="shared" si="9"/>
        <v>3.0229472869428631</v>
      </c>
      <c r="AA14" s="20">
        <f>IFERROR((AA11+AA12)*0.5,20)</f>
        <v>27.647529921091888</v>
      </c>
      <c r="AG14" s="218">
        <f ca="1">OFFSET(R14,0,'Unit conv'!$B$34,1,1)</f>
        <v>2.8582434514637907</v>
      </c>
      <c r="AH14" s="218">
        <f ca="1">OFFSET(S14,0,'Unit conv'!$B$34,1,1)</f>
        <v>2.9328458484495727</v>
      </c>
    </row>
    <row r="15" spans="3:34" x14ac:dyDescent="0.25">
      <c r="C15" t="s">
        <v>37</v>
      </c>
      <c r="D15" s="5">
        <f>Calculator!X16</f>
        <v>1</v>
      </c>
      <c r="E15" t="s">
        <v>38</v>
      </c>
      <c r="L15">
        <v>0.4</v>
      </c>
      <c r="M15" s="217">
        <f t="shared" si="0"/>
        <v>4</v>
      </c>
      <c r="N15" s="18">
        <f t="shared" si="1"/>
        <v>37.176470588235304</v>
      </c>
      <c r="O15" s="20">
        <f t="shared" si="2"/>
        <v>1.1075949367088607</v>
      </c>
      <c r="P15" s="20">
        <f t="shared" si="3"/>
        <v>1.1538074702036489</v>
      </c>
      <c r="Q15" s="18">
        <f t="shared" si="4"/>
        <v>2.9351265822784809</v>
      </c>
      <c r="R15" s="142">
        <f t="shared" si="5"/>
        <v>2.9351265822784809</v>
      </c>
      <c r="S15" s="142">
        <f t="shared" si="6"/>
        <v>3.0117356893097669</v>
      </c>
      <c r="T15" s="18">
        <f t="shared" si="7"/>
        <v>3.0575897960396694</v>
      </c>
      <c r="U15" s="216">
        <f t="shared" si="8"/>
        <v>3.0575897960396694</v>
      </c>
      <c r="V15" s="216">
        <f t="shared" si="9"/>
        <v>3.1373952890486745</v>
      </c>
      <c r="AG15" s="218">
        <f ca="1">OFFSET(R15,0,'Unit conv'!$B$34,1,1)</f>
        <v>2.9351265822784809</v>
      </c>
      <c r="AH15" s="218">
        <f ca="1">OFFSET(S15,0,'Unit conv'!$B$34,1,1)</f>
        <v>3.0117356893097669</v>
      </c>
    </row>
    <row r="16" spans="3:34" x14ac:dyDescent="0.25">
      <c r="C16" t="s">
        <v>39</v>
      </c>
      <c r="D16" s="5">
        <f>'Unit conv'!B17</f>
        <v>1</v>
      </c>
      <c r="E16" s="5" t="str">
        <f>'Unit conv'!B18</f>
        <v>bar</v>
      </c>
      <c r="L16">
        <v>0.5</v>
      </c>
      <c r="M16" s="217">
        <f t="shared" si="0"/>
        <v>5</v>
      </c>
      <c r="N16" s="18">
        <f t="shared" si="1"/>
        <v>36.176470588235304</v>
      </c>
      <c r="O16" s="20">
        <f t="shared" si="2"/>
        <v>1.1382113821138211</v>
      </c>
      <c r="P16" s="20">
        <f t="shared" si="3"/>
        <v>1.1987043847336178</v>
      </c>
      <c r="Q16" s="18">
        <f t="shared" si="4"/>
        <v>3.0162601626016259</v>
      </c>
      <c r="R16" s="142">
        <f t="shared" si="5"/>
        <v>3.0162601626016259</v>
      </c>
      <c r="S16" s="142">
        <f t="shared" si="6"/>
        <v>3.0949869197459718</v>
      </c>
      <c r="T16" s="18">
        <f t="shared" si="7"/>
        <v>3.1765666195440874</v>
      </c>
      <c r="U16" s="216">
        <f t="shared" si="8"/>
        <v>3.1765666195440874</v>
      </c>
      <c r="V16" s="216">
        <f t="shared" si="9"/>
        <v>3.2594775010092922</v>
      </c>
      <c r="AA16" t="s">
        <v>407</v>
      </c>
      <c r="AG16" s="218">
        <f ca="1">OFFSET(R16,0,'Unit conv'!$B$34,1,1)</f>
        <v>3.0162601626016259</v>
      </c>
      <c r="AH16" s="218">
        <f ca="1">OFFSET(S16,0,'Unit conv'!$B$34,1,1)</f>
        <v>3.0949869197459718</v>
      </c>
    </row>
    <row r="17" spans="3:34" x14ac:dyDescent="0.25">
      <c r="C17" t="s">
        <v>40</v>
      </c>
      <c r="D17" s="5">
        <f>'Unit conv'!B23</f>
        <v>1</v>
      </c>
      <c r="E17" s="5" t="str">
        <f>'Unit conv'!B24</f>
        <v>kN</v>
      </c>
      <c r="L17">
        <v>0.6</v>
      </c>
      <c r="M17" s="217">
        <f t="shared" si="0"/>
        <v>6</v>
      </c>
      <c r="N17" s="18">
        <f t="shared" si="1"/>
        <v>35.176470588235304</v>
      </c>
      <c r="O17" s="20">
        <f t="shared" si="2"/>
        <v>1.1705685618729096</v>
      </c>
      <c r="P17" s="20">
        <f t="shared" si="3"/>
        <v>1.246681739919657</v>
      </c>
      <c r="Q17" s="18">
        <f t="shared" si="4"/>
        <v>3.1020066889632103</v>
      </c>
      <c r="R17" s="142">
        <f t="shared" si="5"/>
        <v>3.1020066889632103</v>
      </c>
      <c r="S17" s="142">
        <f t="shared" si="6"/>
        <v>3.1829714977320611</v>
      </c>
      <c r="T17" s="18">
        <f t="shared" si="7"/>
        <v>3.3037066107870912</v>
      </c>
      <c r="U17" s="216">
        <f t="shared" si="8"/>
        <v>3.3037066107870912</v>
      </c>
      <c r="V17" s="216">
        <f t="shared" si="9"/>
        <v>3.3899359457922218</v>
      </c>
      <c r="AA17" s="20">
        <f>(273+AA14)/(273+20)</f>
        <v>1.0261007847136241</v>
      </c>
      <c r="AG17" s="218">
        <f ca="1">OFFSET(R17,0,'Unit conv'!$B$34,1,1)</f>
        <v>3.1020066889632103</v>
      </c>
      <c r="AH17" s="218">
        <f ca="1">OFFSET(S17,0,'Unit conv'!$B$34,1,1)</f>
        <v>3.1829714977320611</v>
      </c>
    </row>
    <row r="18" spans="3:34" x14ac:dyDescent="0.25">
      <c r="C18" t="s">
        <v>41</v>
      </c>
      <c r="D18" s="5">
        <f>Calculator!X17</f>
        <v>150</v>
      </c>
      <c r="E18" s="5"/>
      <c r="L18">
        <v>0.7</v>
      </c>
      <c r="M18" s="217">
        <f t="shared" si="0"/>
        <v>7</v>
      </c>
      <c r="N18" s="18">
        <f t="shared" si="1"/>
        <v>34.176470588235304</v>
      </c>
      <c r="O18" s="20">
        <f t="shared" si="2"/>
        <v>1.2048192771084336</v>
      </c>
      <c r="P18" s="20">
        <f t="shared" si="3"/>
        <v>1.2980477558381693</v>
      </c>
      <c r="Q18" s="18">
        <f t="shared" si="4"/>
        <v>3.1927710843373491</v>
      </c>
      <c r="R18" s="142">
        <f t="shared" si="5"/>
        <v>3.1927710843373491</v>
      </c>
      <c r="S18" s="142">
        <f t="shared" si="6"/>
        <v>3.2761049150495225</v>
      </c>
      <c r="T18" s="18">
        <f t="shared" si="7"/>
        <v>3.4398265529711485</v>
      </c>
      <c r="U18" s="216">
        <f t="shared" si="8"/>
        <v>3.4398265529711485</v>
      </c>
      <c r="V18" s="216">
        <f t="shared" si="9"/>
        <v>3.5296087252824559</v>
      </c>
      <c r="AA18" s="20"/>
      <c r="AG18" s="218">
        <f ca="1">OFFSET(R18,0,'Unit conv'!$B$34,1,1)</f>
        <v>3.1927710843373491</v>
      </c>
      <c r="AH18" s="218">
        <f ca="1">OFFSET(S18,0,'Unit conv'!$B$34,1,1)</f>
        <v>3.2761049150495225</v>
      </c>
    </row>
    <row r="19" spans="3:34" x14ac:dyDescent="0.25">
      <c r="C19" t="s">
        <v>42</v>
      </c>
      <c r="D19">
        <f>D18/D16</f>
        <v>150</v>
      </c>
      <c r="E19" t="s">
        <v>23</v>
      </c>
      <c r="L19">
        <v>0.8</v>
      </c>
      <c r="M19" s="217">
        <f t="shared" si="0"/>
        <v>8</v>
      </c>
      <c r="N19" s="18">
        <f t="shared" si="1"/>
        <v>33.176470588235304</v>
      </c>
      <c r="O19" s="20">
        <f t="shared" si="2"/>
        <v>1.2411347517730495</v>
      </c>
      <c r="P19" s="20">
        <f t="shared" si="3"/>
        <v>1.3531517715111263</v>
      </c>
      <c r="Q19" s="18">
        <f t="shared" si="4"/>
        <v>3.289007092198581</v>
      </c>
      <c r="R19" s="142">
        <f t="shared" si="5"/>
        <v>3.289007092198581</v>
      </c>
      <c r="S19" s="142">
        <f t="shared" si="6"/>
        <v>3.3748527582336392</v>
      </c>
      <c r="T19" s="18">
        <f t="shared" si="7"/>
        <v>3.5858521945044846</v>
      </c>
      <c r="U19" s="216">
        <f t="shared" si="8"/>
        <v>3.5858521945044846</v>
      </c>
      <c r="V19" s="216">
        <f t="shared" si="9"/>
        <v>3.6794457506481226</v>
      </c>
      <c r="AG19" s="218">
        <f ca="1">OFFSET(R19,0,'Unit conv'!$B$34,1,1)</f>
        <v>3.289007092198581</v>
      </c>
      <c r="AH19" s="218">
        <f ca="1">OFFSET(S19,0,'Unit conv'!$B$34,1,1)</f>
        <v>3.3748527582336392</v>
      </c>
    </row>
    <row r="20" spans="3:34" x14ac:dyDescent="0.25">
      <c r="C20" t="s">
        <v>416</v>
      </c>
      <c r="D20">
        <f>Calculator!P2</f>
        <v>150</v>
      </c>
      <c r="E20" t="s">
        <v>23</v>
      </c>
      <c r="L20">
        <v>0.9</v>
      </c>
      <c r="M20" s="217">
        <f t="shared" si="0"/>
        <v>9</v>
      </c>
      <c r="N20" s="18">
        <f t="shared" si="1"/>
        <v>32.176470588235304</v>
      </c>
      <c r="O20" s="20">
        <f t="shared" si="2"/>
        <v>1.2797074954296159</v>
      </c>
      <c r="P20" s="20">
        <f t="shared" si="3"/>
        <v>1.412391187495964</v>
      </c>
      <c r="Q20" s="18">
        <f t="shared" si="4"/>
        <v>3.3912248628884822</v>
      </c>
      <c r="R20" s="142">
        <f t="shared" si="5"/>
        <v>3.3912248628884822</v>
      </c>
      <c r="S20" s="142">
        <f t="shared" si="6"/>
        <v>3.479738492950224</v>
      </c>
      <c r="T20" s="18">
        <f t="shared" si="7"/>
        <v>3.7428366468643044</v>
      </c>
      <c r="U20" s="216">
        <f t="shared" si="8"/>
        <v>3.7428366468643044</v>
      </c>
      <c r="V20" s="216">
        <f t="shared" si="9"/>
        <v>3.8405276204023724</v>
      </c>
      <c r="AG20" s="218">
        <f ca="1">OFFSET(R20,0,'Unit conv'!$B$34,1,1)</f>
        <v>3.3912248628884822</v>
      </c>
      <c r="AH20" s="218">
        <f ca="1">OFFSET(S20,0,'Unit conv'!$B$34,1,1)</f>
        <v>3.479738492950224</v>
      </c>
    </row>
    <row r="21" spans="3:34" x14ac:dyDescent="0.25">
      <c r="L21">
        <v>1</v>
      </c>
      <c r="M21" s="217">
        <f t="shared" si="0"/>
        <v>10</v>
      </c>
      <c r="N21" s="18">
        <f t="shared" si="1"/>
        <v>31.176470588235304</v>
      </c>
      <c r="O21" s="20">
        <f t="shared" si="2"/>
        <v>1.320754716981132</v>
      </c>
      <c r="P21" s="20">
        <f t="shared" si="3"/>
        <v>1.4762198425381252</v>
      </c>
      <c r="Q21" s="18">
        <f t="shared" si="4"/>
        <v>3.4999999999999996</v>
      </c>
      <c r="R21" s="142">
        <f t="shared" si="5"/>
        <v>3.4999999999999996</v>
      </c>
      <c r="S21" s="142">
        <f t="shared" si="6"/>
        <v>3.5913527464976838</v>
      </c>
      <c r="T21" s="18">
        <f t="shared" si="7"/>
        <v>3.9119825827260315</v>
      </c>
      <c r="U21" s="216">
        <f t="shared" si="8"/>
        <v>3.9119825827260315</v>
      </c>
      <c r="V21" s="216">
        <f t="shared" si="9"/>
        <v>4.0140883979212107</v>
      </c>
      <c r="AG21" s="218">
        <f ca="1">OFFSET(R21,0,'Unit conv'!$B$34,1,1)</f>
        <v>3.4999999999999996</v>
      </c>
      <c r="AH21" s="218">
        <f ca="1">OFFSET(S21,0,'Unit conv'!$B$34,1,1)</f>
        <v>3.5913527464976838</v>
      </c>
    </row>
    <row r="22" spans="3:34" x14ac:dyDescent="0.25">
      <c r="C22" t="s">
        <v>411</v>
      </c>
      <c r="H22" t="s">
        <v>43</v>
      </c>
      <c r="N22" s="20"/>
      <c r="R22" s="19"/>
    </row>
    <row r="24" spans="3:34" x14ac:dyDescent="0.25">
      <c r="C24" t="s">
        <v>412</v>
      </c>
      <c r="D24" s="20">
        <f>D10/D9</f>
        <v>1.320754716981132</v>
      </c>
      <c r="I24" s="18"/>
    </row>
    <row r="26" spans="3:34" x14ac:dyDescent="0.25">
      <c r="C26" t="s">
        <v>44</v>
      </c>
      <c r="D26" s="18">
        <f>(D24*D11)/(D24-1)</f>
        <v>41.176470588235304</v>
      </c>
      <c r="E26" t="s">
        <v>19</v>
      </c>
      <c r="F26" t="s">
        <v>45</v>
      </c>
    </row>
    <row r="28" spans="3:34" x14ac:dyDescent="0.25">
      <c r="D28" s="18">
        <f>D26-D11</f>
        <v>31.176470588235304</v>
      </c>
      <c r="E28" t="s">
        <v>19</v>
      </c>
      <c r="F28" t="s">
        <v>413</v>
      </c>
    </row>
    <row r="30" spans="3:34" x14ac:dyDescent="0.25">
      <c r="C30" t="s">
        <v>46</v>
      </c>
      <c r="D30" s="18">
        <f>D26-D14</f>
        <v>31.176470588235304</v>
      </c>
      <c r="E30" t="s">
        <v>19</v>
      </c>
      <c r="F30" t="s">
        <v>414</v>
      </c>
    </row>
    <row r="32" spans="3:34" x14ac:dyDescent="0.25">
      <c r="C32" t="s">
        <v>47</v>
      </c>
      <c r="D32" s="20">
        <f>D26/D30</f>
        <v>1.320754716981132</v>
      </c>
    </row>
    <row r="35" spans="3:5" x14ac:dyDescent="0.25">
      <c r="C35" s="140" t="s">
        <v>48</v>
      </c>
      <c r="D35" s="141">
        <v>1.4</v>
      </c>
    </row>
    <row r="36" spans="3:5" x14ac:dyDescent="0.25">
      <c r="C36" t="s">
        <v>49</v>
      </c>
      <c r="D36" s="20">
        <f>D32^D35</f>
        <v>1.4762198425381252</v>
      </c>
      <c r="E36" t="s">
        <v>50</v>
      </c>
    </row>
    <row r="38" spans="3:5" x14ac:dyDescent="0.25">
      <c r="D38" s="18">
        <f>D9*D36</f>
        <v>3911.982582726032</v>
      </c>
    </row>
    <row r="42" spans="3:5" x14ac:dyDescent="0.25">
      <c r="C42" t="s">
        <v>51</v>
      </c>
      <c r="D42" s="19">
        <f>D19*D36</f>
        <v>221.43297638071877</v>
      </c>
    </row>
    <row r="44" spans="3:5" x14ac:dyDescent="0.25">
      <c r="C44" t="s">
        <v>419</v>
      </c>
      <c r="D44">
        <f>D19/D20</f>
        <v>1</v>
      </c>
    </row>
    <row r="45" spans="3:5" x14ac:dyDescent="0.25">
      <c r="C45" t="s">
        <v>52</v>
      </c>
      <c r="D45" s="218">
        <f>D44*D9*0.001*D17</f>
        <v>2.65</v>
      </c>
      <c r="E45" t="str">
        <f>E17</f>
        <v>kN</v>
      </c>
    </row>
    <row r="46" spans="3:5" x14ac:dyDescent="0.25">
      <c r="C46" t="s">
        <v>53</v>
      </c>
      <c r="D46" s="219">
        <f ca="1">$AH$11</f>
        <v>2.7191670794911036</v>
      </c>
      <c r="E46" t="str">
        <f>E17</f>
        <v>kN</v>
      </c>
    </row>
    <row r="47" spans="3:5" x14ac:dyDescent="0.25">
      <c r="C47" t="s">
        <v>54</v>
      </c>
      <c r="D47" s="218">
        <f>D9*D32*D44*0.001*D17</f>
        <v>3.5</v>
      </c>
      <c r="E47" t="s">
        <v>418</v>
      </c>
    </row>
    <row r="48" spans="3:5" x14ac:dyDescent="0.25">
      <c r="C48" t="s">
        <v>55</v>
      </c>
      <c r="D48" s="219">
        <f ca="1">$AH$21</f>
        <v>3.5913527464976838</v>
      </c>
    </row>
    <row r="49" spans="3:5" x14ac:dyDescent="0.25">
      <c r="C49" t="s">
        <v>56</v>
      </c>
    </row>
    <row r="51" spans="3:5" x14ac:dyDescent="0.25">
      <c r="C51" s="146" t="s">
        <v>430</v>
      </c>
      <c r="D51" s="146" t="str">
        <f>IF(D12&gt;D11,"Used stroke length is more than 100%!","")</f>
        <v/>
      </c>
    </row>
    <row r="52" spans="3:5" x14ac:dyDescent="0.25">
      <c r="C52" s="7"/>
      <c r="D52" s="143"/>
    </row>
    <row r="56" spans="3:5" x14ac:dyDescent="0.25">
      <c r="D56" s="21"/>
      <c r="E56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/>
  <dimension ref="A1:AO167"/>
  <sheetViews>
    <sheetView topLeftCell="A43" workbookViewId="0">
      <selection activeCell="M63" sqref="M63"/>
    </sheetView>
  </sheetViews>
  <sheetFormatPr defaultColWidth="12" defaultRowHeight="15" customHeight="1" x14ac:dyDescent="0.25"/>
  <cols>
    <col min="1" max="1" width="17.140625" style="38" customWidth="1"/>
    <col min="2" max="2" width="17.5703125" style="38" customWidth="1"/>
    <col min="3" max="3" width="18.42578125" style="40" customWidth="1"/>
    <col min="4" max="4" width="17.5703125" style="41" customWidth="1"/>
    <col min="5" max="5" width="2.28515625" style="38" customWidth="1"/>
    <col min="6" max="6" width="12.28515625" style="28" customWidth="1"/>
    <col min="7" max="7" width="12" style="28" customWidth="1"/>
    <col min="8" max="8" width="12.140625" style="28" customWidth="1"/>
    <col min="9" max="9" width="11.5703125" style="28" customWidth="1"/>
    <col min="10" max="10" width="13" style="28" customWidth="1"/>
    <col min="11" max="11" width="13" style="26" customWidth="1"/>
    <col min="12" max="12" width="19.28515625" style="27" customWidth="1"/>
    <col min="13" max="13" width="18" style="28" customWidth="1"/>
    <col min="14" max="14" width="17.7109375" style="28" customWidth="1"/>
    <col min="15" max="15" width="14.5703125" style="28" customWidth="1"/>
    <col min="16" max="16" width="13.42578125" style="29" customWidth="1"/>
    <col min="17" max="17" width="10" style="29" customWidth="1"/>
    <col min="18" max="18" width="11.7109375" style="29" customWidth="1"/>
    <col min="19" max="19" width="11.85546875" style="29" customWidth="1"/>
    <col min="20" max="21" width="11.7109375" style="31" customWidth="1"/>
    <col min="22" max="24" width="11.7109375" style="32" customWidth="1"/>
    <col min="25" max="26" width="9.42578125" style="32" customWidth="1"/>
    <col min="27" max="27" width="9.42578125" style="33" customWidth="1"/>
    <col min="28" max="30" width="11.5703125" style="26" customWidth="1"/>
    <col min="31" max="31" width="14.28515625" style="34" customWidth="1"/>
    <col min="32" max="32" width="9.42578125" style="34" customWidth="1"/>
    <col min="33" max="33" width="14.42578125" style="36" customWidth="1"/>
    <col min="34" max="34" width="27" style="37" customWidth="1"/>
    <col min="35" max="36" width="9.140625" style="38" customWidth="1"/>
    <col min="37" max="39" width="12" style="38" customWidth="1"/>
    <col min="40" max="41" width="12" style="52"/>
    <col min="42" max="16384" width="12" style="38"/>
  </cols>
  <sheetData>
    <row r="1" spans="1:41" ht="15" customHeight="1" x14ac:dyDescent="0.25">
      <c r="A1" s="135" t="s">
        <v>263</v>
      </c>
      <c r="B1" s="135"/>
      <c r="C1" s="22" t="s">
        <v>264</v>
      </c>
      <c r="D1" s="23"/>
      <c r="E1" s="24"/>
      <c r="F1" s="25"/>
      <c r="G1" s="25"/>
      <c r="H1" s="25"/>
      <c r="I1" s="25"/>
      <c r="J1" s="25"/>
      <c r="R1" s="30"/>
      <c r="S1" s="30"/>
      <c r="AF1" s="35"/>
      <c r="AN1" s="39"/>
      <c r="AO1" s="39"/>
    </row>
    <row r="2" spans="1:41" ht="15" customHeight="1" x14ac:dyDescent="0.25">
      <c r="A2" s="135"/>
      <c r="B2" s="135"/>
      <c r="C2" s="22"/>
      <c r="D2" s="23"/>
      <c r="E2" s="24"/>
      <c r="F2" s="25"/>
      <c r="G2" s="25"/>
      <c r="H2" s="25"/>
      <c r="I2" s="25"/>
      <c r="J2" s="25"/>
      <c r="R2" s="30"/>
      <c r="S2" s="30"/>
      <c r="AF2" s="35"/>
      <c r="AN2" s="39"/>
      <c r="AO2" s="39"/>
    </row>
    <row r="3" spans="1:41" ht="15" customHeight="1" x14ac:dyDescent="0.25">
      <c r="A3" s="135"/>
      <c r="B3" s="135"/>
      <c r="C3" s="22"/>
      <c r="D3" s="23"/>
      <c r="E3" s="24"/>
      <c r="F3" s="25" t="s">
        <v>261</v>
      </c>
      <c r="G3" s="25"/>
      <c r="H3" s="25"/>
      <c r="I3" s="25"/>
      <c r="J3" s="25"/>
      <c r="R3" s="30"/>
      <c r="S3" s="30"/>
      <c r="AF3" s="35"/>
      <c r="AN3" s="39"/>
      <c r="AO3" s="39"/>
    </row>
    <row r="4" spans="1:41" ht="15" customHeight="1" x14ac:dyDescent="0.25">
      <c r="A4" s="135"/>
      <c r="B4" s="135"/>
      <c r="C4" s="22"/>
      <c r="D4" s="23"/>
      <c r="E4" s="24"/>
      <c r="F4" s="25" t="s">
        <v>262</v>
      </c>
      <c r="G4" s="25"/>
      <c r="H4" s="25"/>
      <c r="I4" s="25"/>
      <c r="J4" s="25"/>
      <c r="R4" s="30"/>
      <c r="S4" s="30"/>
      <c r="AF4" s="35"/>
      <c r="AN4" s="39"/>
      <c r="AO4" s="39"/>
    </row>
    <row r="6" spans="1:41" ht="15" customHeight="1" x14ac:dyDescent="0.25">
      <c r="M6" s="42"/>
      <c r="O6" s="43"/>
      <c r="P6" s="44"/>
      <c r="Q6" s="44"/>
      <c r="R6" s="44"/>
      <c r="S6" s="44"/>
      <c r="T6" s="45"/>
      <c r="U6" s="45"/>
      <c r="V6" s="46"/>
      <c r="W6" s="46"/>
      <c r="X6" s="46"/>
      <c r="Y6" s="46"/>
      <c r="Z6" s="46"/>
      <c r="AA6" s="47"/>
      <c r="AB6" s="48"/>
      <c r="AC6" s="48"/>
      <c r="AD6" s="48"/>
      <c r="AE6" s="49"/>
      <c r="AF6" s="49"/>
      <c r="AG6" s="50" t="s">
        <v>173</v>
      </c>
      <c r="AH6" s="51"/>
    </row>
    <row r="7" spans="1:41" ht="16.5" customHeight="1" x14ac:dyDescent="0.25">
      <c r="C7" s="53" t="s">
        <v>174</v>
      </c>
      <c r="D7" s="54" t="s">
        <v>60</v>
      </c>
      <c r="F7" s="55" t="s">
        <v>175</v>
      </c>
      <c r="G7" s="55" t="s">
        <v>176</v>
      </c>
      <c r="H7" s="55" t="s">
        <v>177</v>
      </c>
      <c r="I7" s="55" t="s">
        <v>178</v>
      </c>
      <c r="J7" s="55" t="s">
        <v>179</v>
      </c>
      <c r="K7" s="56" t="s">
        <v>179</v>
      </c>
      <c r="L7" s="57" t="s">
        <v>179</v>
      </c>
      <c r="M7" s="58"/>
      <c r="N7" s="58"/>
      <c r="O7" s="58"/>
      <c r="P7" s="59" t="s">
        <v>180</v>
      </c>
      <c r="R7" s="59" t="str">
        <f t="shared" ref="R7:S18" si="0">P7</f>
        <v>Estimated running</v>
      </c>
      <c r="V7" s="60" t="s">
        <v>181</v>
      </c>
      <c r="Y7" s="61"/>
      <c r="AB7" s="33" t="str">
        <f>P7</f>
        <v>Estimated running</v>
      </c>
      <c r="AE7" s="62"/>
      <c r="AF7" s="62"/>
      <c r="AG7" s="50">
        <v>1</v>
      </c>
      <c r="AH7" s="51"/>
    </row>
    <row r="8" spans="1:41" ht="16.5" customHeight="1" x14ac:dyDescent="0.25">
      <c r="C8" s="63"/>
      <c r="D8" s="54"/>
      <c r="E8" s="64"/>
      <c r="F8" s="55"/>
      <c r="G8" s="55" t="s">
        <v>182</v>
      </c>
      <c r="H8" s="55"/>
      <c r="I8" s="55"/>
      <c r="J8" s="55" t="s">
        <v>183</v>
      </c>
      <c r="K8" s="56" t="s">
        <v>183</v>
      </c>
      <c r="L8" s="57" t="s">
        <v>183</v>
      </c>
      <c r="M8" s="65" t="s">
        <v>184</v>
      </c>
      <c r="N8" s="65" t="s">
        <v>185</v>
      </c>
      <c r="O8" s="65" t="s">
        <v>186</v>
      </c>
      <c r="P8" s="59" t="s">
        <v>187</v>
      </c>
      <c r="R8" s="59" t="str">
        <f t="shared" si="0"/>
        <v>temperature between:</v>
      </c>
      <c r="V8" s="66" t="s">
        <v>188</v>
      </c>
      <c r="Y8" s="61"/>
      <c r="AB8" s="33" t="str">
        <f>P8</f>
        <v>temperature between:</v>
      </c>
      <c r="AE8" s="62"/>
      <c r="AF8" s="62"/>
      <c r="AG8" s="50">
        <v>1</v>
      </c>
      <c r="AH8" s="51"/>
    </row>
    <row r="9" spans="1:41" ht="16.5" customHeight="1" x14ac:dyDescent="0.25">
      <c r="C9" s="67" t="s">
        <v>189</v>
      </c>
      <c r="D9" s="68" t="s">
        <v>189</v>
      </c>
      <c r="E9" s="69"/>
      <c r="F9" s="55"/>
      <c r="G9" s="55" t="s">
        <v>190</v>
      </c>
      <c r="H9" s="55" t="s">
        <v>191</v>
      </c>
      <c r="I9" s="55" t="s">
        <v>192</v>
      </c>
      <c r="J9" s="55" t="s">
        <v>193</v>
      </c>
      <c r="K9" s="56" t="s">
        <v>194</v>
      </c>
      <c r="L9" s="57" t="s">
        <v>193</v>
      </c>
      <c r="M9" s="65" t="s">
        <v>195</v>
      </c>
      <c r="N9" s="65" t="s">
        <v>196</v>
      </c>
      <c r="O9" s="65" t="s">
        <v>197</v>
      </c>
      <c r="P9" s="29" t="s">
        <v>193</v>
      </c>
      <c r="Q9" s="29" t="s">
        <v>193</v>
      </c>
      <c r="R9" s="29" t="str">
        <f t="shared" si="0"/>
        <v>[°C]</v>
      </c>
      <c r="S9" s="29" t="str">
        <f t="shared" si="0"/>
        <v>[°C]</v>
      </c>
      <c r="T9" s="31" t="s">
        <v>198</v>
      </c>
      <c r="U9" s="31" t="s">
        <v>199</v>
      </c>
      <c r="V9" s="66" t="s">
        <v>200</v>
      </c>
      <c r="W9" s="60" t="s">
        <v>201</v>
      </c>
      <c r="X9" s="60" t="s">
        <v>202</v>
      </c>
      <c r="Y9" s="60" t="s">
        <v>203</v>
      </c>
      <c r="Z9" s="60" t="s">
        <v>204</v>
      </c>
      <c r="AA9" s="26" t="s">
        <v>194</v>
      </c>
      <c r="AB9" s="26" t="s">
        <v>194</v>
      </c>
      <c r="AC9" s="26" t="s">
        <v>193</v>
      </c>
      <c r="AD9" s="26" t="s">
        <v>193</v>
      </c>
      <c r="AG9" s="50">
        <v>1</v>
      </c>
      <c r="AH9" s="51"/>
    </row>
    <row r="10" spans="1:41" ht="16.5" customHeight="1" x14ac:dyDescent="0.25">
      <c r="A10" s="38" t="str">
        <f>CONCATENATE("CU4"," ",D10)</f>
        <v>CU4 420</v>
      </c>
      <c r="C10" s="70">
        <v>420</v>
      </c>
      <c r="D10" s="71">
        <v>420</v>
      </c>
      <c r="E10" s="64"/>
      <c r="F10" s="72">
        <f>Calculator!$M$2</f>
        <v>10</v>
      </c>
      <c r="G10" s="73">
        <f>Fjäderkurva!$D$14</f>
        <v>10</v>
      </c>
      <c r="H10" s="73">
        <f>Fjäderkurva!$D$19</f>
        <v>150</v>
      </c>
      <c r="I10" s="73">
        <f>Calculator!$X$19</f>
        <v>20</v>
      </c>
      <c r="J10" s="74">
        <f>Calculator!$X$20</f>
        <v>20</v>
      </c>
      <c r="K10" s="75">
        <v>77</v>
      </c>
      <c r="L10" s="76">
        <f>5/9*(K10-32)</f>
        <v>25</v>
      </c>
      <c r="M10" s="77">
        <f>39.1+2.146*F10</f>
        <v>60.56</v>
      </c>
      <c r="N10" s="78">
        <f>24.9*PI()*M10*0.01</f>
        <v>47.373457924248072</v>
      </c>
      <c r="O10" s="79">
        <f>0.49+0.017*F10-0.00037*F10^2</f>
        <v>0.623</v>
      </c>
      <c r="P10" s="80">
        <f>G10*H10*I10*(G10/F10)^1.1/(150*N10*O10)+J10</f>
        <v>26.776522157887584</v>
      </c>
      <c r="Q10" s="80">
        <f t="shared" ref="Q10:Q18" si="1">P10+10</f>
        <v>36.776522157887584</v>
      </c>
      <c r="R10" s="81">
        <f t="shared" si="0"/>
        <v>26.776522157887584</v>
      </c>
      <c r="S10" s="81">
        <f t="shared" si="0"/>
        <v>36.776522157887584</v>
      </c>
      <c r="T10" s="82">
        <f>9/5*R10+32</f>
        <v>80.197739884197659</v>
      </c>
      <c r="U10" s="82">
        <f>9/5*S10+32</f>
        <v>98.197739884197659</v>
      </c>
      <c r="V10" s="83">
        <f>5/9*(K10-32)</f>
        <v>25</v>
      </c>
      <c r="W10" s="84">
        <f>P10+V10</f>
        <v>51.776522157887584</v>
      </c>
      <c r="X10" s="84">
        <f>W10+10</f>
        <v>61.776522157887584</v>
      </c>
      <c r="Y10" s="84">
        <f>9/5*W10+32</f>
        <v>125.19773988419766</v>
      </c>
      <c r="Z10" s="84">
        <f>9/5*X10+32</f>
        <v>143.19773988419766</v>
      </c>
      <c r="AA10" s="85">
        <f t="shared" ref="AA10:AB73" si="2">Y10</f>
        <v>125.19773988419766</v>
      </c>
      <c r="AB10" s="86">
        <f t="shared" si="2"/>
        <v>143.19773988419766</v>
      </c>
      <c r="AC10" s="86">
        <f>5/9*(AA10-32)</f>
        <v>51.776522157887591</v>
      </c>
      <c r="AD10" s="86">
        <f>5/9*(AB10-32)</f>
        <v>61.776522157887591</v>
      </c>
      <c r="AE10" s="62" t="str">
        <f t="shared" ref="AE10:AE18" si="3">IF(Q10&gt;80,"High temp. Please contact your distributor for advice",IF(H10&gt;150,"Too high charging pressure!",""))</f>
        <v/>
      </c>
      <c r="AF10" s="62" t="str">
        <f>AE10</f>
        <v/>
      </c>
      <c r="AG10" s="50">
        <v>1</v>
      </c>
      <c r="AH10" s="87" t="s">
        <v>205</v>
      </c>
      <c r="AN10" s="88">
        <v>33</v>
      </c>
      <c r="AO10" s="88">
        <v>43</v>
      </c>
    </row>
    <row r="11" spans="1:41" ht="16.5" customHeight="1" x14ac:dyDescent="0.25">
      <c r="A11" s="38" t="str">
        <f t="shared" ref="A11:A18" si="4">CONCATENATE("CU4"," ",D11)</f>
        <v>CU4 740</v>
      </c>
      <c r="C11" s="70">
        <v>740</v>
      </c>
      <c r="D11" s="71">
        <v>740</v>
      </c>
      <c r="E11" s="64"/>
      <c r="F11" s="72">
        <f>Calculator!$M$2</f>
        <v>10</v>
      </c>
      <c r="G11" s="73">
        <f>Fjäderkurva!$D$14</f>
        <v>10</v>
      </c>
      <c r="H11" s="73">
        <f>Fjäderkurva!$D$19</f>
        <v>150</v>
      </c>
      <c r="I11" s="73">
        <f>Calculator!$X$19</f>
        <v>20</v>
      </c>
      <c r="J11" s="74">
        <f>Calculator!$X$20</f>
        <v>20</v>
      </c>
      <c r="K11" s="75">
        <v>77</v>
      </c>
      <c r="L11" s="76">
        <f t="shared" ref="L11:L73" si="5">5/9*(K11-32)</f>
        <v>25</v>
      </c>
      <c r="M11" s="77">
        <f>45+2*F11</f>
        <v>65</v>
      </c>
      <c r="N11" s="78">
        <f>32*PI()*M11*0.01</f>
        <v>65.345127194667697</v>
      </c>
      <c r="O11" s="79">
        <f>2.5-0.039*F11</f>
        <v>2.11</v>
      </c>
      <c r="P11" s="80">
        <f t="shared" ref="P11:P18" si="6">G11*H11*I11*(G11/F11)^1.1/(150*N11*O11)+J11</f>
        <v>21.450555441960404</v>
      </c>
      <c r="Q11" s="80">
        <f t="shared" si="1"/>
        <v>31.450555441960404</v>
      </c>
      <c r="R11" s="81">
        <f t="shared" si="0"/>
        <v>21.450555441960404</v>
      </c>
      <c r="S11" s="81">
        <f t="shared" si="0"/>
        <v>31.450555441960404</v>
      </c>
      <c r="T11" s="82">
        <f t="shared" ref="T11:U73" si="7">9/5*R11+32</f>
        <v>70.610999795528727</v>
      </c>
      <c r="U11" s="82">
        <f t="shared" si="7"/>
        <v>88.610999795528727</v>
      </c>
      <c r="V11" s="83">
        <f t="shared" ref="V11:V18" si="8">5/9*(K11-32)</f>
        <v>25</v>
      </c>
      <c r="W11" s="84">
        <f t="shared" ref="W11:W18" si="9">P11+V11</f>
        <v>46.450555441960404</v>
      </c>
      <c r="X11" s="84">
        <f t="shared" ref="X11:X73" si="10">W11+10</f>
        <v>56.450555441960404</v>
      </c>
      <c r="Y11" s="84">
        <f t="shared" ref="Y11:Z18" si="11">9/5*W11+32</f>
        <v>115.61099979552873</v>
      </c>
      <c r="Z11" s="84">
        <f t="shared" si="11"/>
        <v>133.61099979552873</v>
      </c>
      <c r="AA11" s="85">
        <f t="shared" si="2"/>
        <v>115.61099979552873</v>
      </c>
      <c r="AB11" s="86">
        <f t="shared" si="2"/>
        <v>133.61099979552873</v>
      </c>
      <c r="AC11" s="86">
        <f t="shared" ref="AC11:AD73" si="12">5/9*(AA11-32)</f>
        <v>46.450555441960404</v>
      </c>
      <c r="AD11" s="86">
        <f t="shared" si="12"/>
        <v>56.450555441960404</v>
      </c>
      <c r="AE11" s="62" t="str">
        <f t="shared" si="3"/>
        <v/>
      </c>
      <c r="AF11" s="62" t="str">
        <f t="shared" ref="AF11:AF73" si="13">AE11</f>
        <v/>
      </c>
      <c r="AG11" s="50">
        <v>1</v>
      </c>
      <c r="AH11" s="87" t="s">
        <v>205</v>
      </c>
      <c r="AN11" s="88">
        <v>30</v>
      </c>
      <c r="AO11" s="88">
        <v>40</v>
      </c>
    </row>
    <row r="12" spans="1:41" ht="16.5" customHeight="1" x14ac:dyDescent="0.25">
      <c r="A12" s="38" t="str">
        <f t="shared" si="4"/>
        <v>CU4 1000</v>
      </c>
      <c r="C12" s="70">
        <v>1000</v>
      </c>
      <c r="D12" s="71">
        <v>1000</v>
      </c>
      <c r="E12" s="64"/>
      <c r="F12" s="72">
        <f>Calculator!$M$2</f>
        <v>10</v>
      </c>
      <c r="G12" s="73">
        <f>Fjäderkurva!$D$14</f>
        <v>10</v>
      </c>
      <c r="H12" s="73">
        <f>Fjäderkurva!$D$19</f>
        <v>150</v>
      </c>
      <c r="I12" s="73">
        <f>Calculator!$X$19</f>
        <v>20</v>
      </c>
      <c r="J12" s="74">
        <f>Calculator!$X$20</f>
        <v>20</v>
      </c>
      <c r="K12" s="75">
        <v>77</v>
      </c>
      <c r="L12" s="76">
        <f t="shared" si="5"/>
        <v>25</v>
      </c>
      <c r="M12" s="77">
        <f>38.9+2.88*F12</f>
        <v>67.699999999999989</v>
      </c>
      <c r="N12" s="78">
        <f>37.9*PI()*M12*0.01</f>
        <v>80.607926783602977</v>
      </c>
      <c r="O12" s="79">
        <f>0.8248-0.002*F12</f>
        <v>0.80479999999999996</v>
      </c>
      <c r="P12" s="80">
        <f t="shared" si="6"/>
        <v>23.082934349486564</v>
      </c>
      <c r="Q12" s="80">
        <f t="shared" si="1"/>
        <v>33.082934349486564</v>
      </c>
      <c r="R12" s="81">
        <f t="shared" si="0"/>
        <v>23.082934349486564</v>
      </c>
      <c r="S12" s="81">
        <f t="shared" si="0"/>
        <v>33.082934349486564</v>
      </c>
      <c r="T12" s="82">
        <f t="shared" si="7"/>
        <v>73.549281829075824</v>
      </c>
      <c r="U12" s="82">
        <f t="shared" si="7"/>
        <v>91.549281829075824</v>
      </c>
      <c r="V12" s="83">
        <f t="shared" si="8"/>
        <v>25</v>
      </c>
      <c r="W12" s="84">
        <f t="shared" si="9"/>
        <v>48.082934349486564</v>
      </c>
      <c r="X12" s="84">
        <f t="shared" si="10"/>
        <v>58.082934349486564</v>
      </c>
      <c r="Y12" s="84">
        <f t="shared" si="11"/>
        <v>118.54928182907582</v>
      </c>
      <c r="Z12" s="84">
        <f t="shared" si="11"/>
        <v>136.54928182907582</v>
      </c>
      <c r="AA12" s="85">
        <f t="shared" si="2"/>
        <v>118.54928182907582</v>
      </c>
      <c r="AB12" s="86">
        <f t="shared" si="2"/>
        <v>136.54928182907582</v>
      </c>
      <c r="AC12" s="86">
        <f t="shared" si="12"/>
        <v>48.082934349486571</v>
      </c>
      <c r="AD12" s="86">
        <f t="shared" si="12"/>
        <v>58.082934349486571</v>
      </c>
      <c r="AE12" s="62" t="str">
        <f t="shared" si="3"/>
        <v/>
      </c>
      <c r="AF12" s="62" t="str">
        <f t="shared" si="13"/>
        <v/>
      </c>
      <c r="AG12" s="50">
        <v>1</v>
      </c>
      <c r="AH12" s="87" t="s">
        <v>205</v>
      </c>
      <c r="AN12" s="88">
        <v>28</v>
      </c>
      <c r="AO12" s="88">
        <v>38</v>
      </c>
    </row>
    <row r="13" spans="1:41" ht="16.5" customHeight="1" x14ac:dyDescent="0.25">
      <c r="A13" s="38" t="str">
        <f t="shared" si="4"/>
        <v>CU4 1800</v>
      </c>
      <c r="C13" s="70">
        <v>1800</v>
      </c>
      <c r="D13" s="71">
        <v>1800</v>
      </c>
      <c r="E13" s="64"/>
      <c r="F13" s="72">
        <f>Calculator!$M$2</f>
        <v>10</v>
      </c>
      <c r="G13" s="73">
        <f>Fjäderkurva!$D$14</f>
        <v>10</v>
      </c>
      <c r="H13" s="73">
        <f>Fjäderkurva!$D$19</f>
        <v>150</v>
      </c>
      <c r="I13" s="73">
        <f>Calculator!$X$19</f>
        <v>20</v>
      </c>
      <c r="J13" s="74">
        <f>Calculator!$X$20</f>
        <v>20</v>
      </c>
      <c r="K13" s="75">
        <v>77</v>
      </c>
      <c r="L13" s="76">
        <f t="shared" si="5"/>
        <v>25</v>
      </c>
      <c r="M13" s="77">
        <f>46.6+2.535*F13</f>
        <v>71.95</v>
      </c>
      <c r="N13" s="78">
        <f>50.2*PI()*M13*0.01</f>
        <v>113.4708708957444</v>
      </c>
      <c r="O13" s="79">
        <f>0.8713-0.0118*F13</f>
        <v>0.75329999999999997</v>
      </c>
      <c r="P13" s="80">
        <f t="shared" si="6"/>
        <v>22.339794092421435</v>
      </c>
      <c r="Q13" s="80">
        <f t="shared" si="1"/>
        <v>32.339794092421435</v>
      </c>
      <c r="R13" s="81">
        <f t="shared" si="0"/>
        <v>22.339794092421435</v>
      </c>
      <c r="S13" s="81">
        <f t="shared" si="0"/>
        <v>32.339794092421435</v>
      </c>
      <c r="T13" s="82">
        <f t="shared" si="7"/>
        <v>72.211629366358579</v>
      </c>
      <c r="U13" s="82">
        <f t="shared" si="7"/>
        <v>90.211629366358579</v>
      </c>
      <c r="V13" s="83">
        <f t="shared" si="8"/>
        <v>25</v>
      </c>
      <c r="W13" s="84">
        <f t="shared" si="9"/>
        <v>47.339794092421435</v>
      </c>
      <c r="X13" s="84">
        <f t="shared" si="10"/>
        <v>57.339794092421435</v>
      </c>
      <c r="Y13" s="84">
        <f t="shared" si="11"/>
        <v>117.21162936635858</v>
      </c>
      <c r="Z13" s="84">
        <f t="shared" si="11"/>
        <v>135.21162936635858</v>
      </c>
      <c r="AA13" s="85">
        <f t="shared" si="2"/>
        <v>117.21162936635858</v>
      </c>
      <c r="AB13" s="86">
        <f t="shared" si="2"/>
        <v>135.21162936635858</v>
      </c>
      <c r="AC13" s="86">
        <f t="shared" si="12"/>
        <v>47.339794092421435</v>
      </c>
      <c r="AD13" s="86">
        <f t="shared" si="12"/>
        <v>57.339794092421435</v>
      </c>
      <c r="AE13" s="62" t="str">
        <f t="shared" si="3"/>
        <v/>
      </c>
      <c r="AF13" s="62" t="str">
        <f t="shared" si="13"/>
        <v/>
      </c>
      <c r="AG13" s="50">
        <v>1</v>
      </c>
      <c r="AH13" s="87" t="s">
        <v>206</v>
      </c>
      <c r="AN13" s="88">
        <v>30</v>
      </c>
      <c r="AO13" s="88">
        <v>40</v>
      </c>
    </row>
    <row r="14" spans="1:41" ht="16.5" customHeight="1" x14ac:dyDescent="0.25">
      <c r="A14" s="38" t="str">
        <f t="shared" si="4"/>
        <v>CU4 2900</v>
      </c>
      <c r="C14" s="70">
        <v>2900</v>
      </c>
      <c r="D14" s="71">
        <v>2900</v>
      </c>
      <c r="E14" s="64"/>
      <c r="F14" s="72">
        <f>Calculator!$M$2</f>
        <v>10</v>
      </c>
      <c r="G14" s="73">
        <f>Fjäderkurva!$D$14</f>
        <v>10</v>
      </c>
      <c r="H14" s="73">
        <f>Fjäderkurva!$D$19</f>
        <v>150</v>
      </c>
      <c r="I14" s="73">
        <f>Calculator!$X$19</f>
        <v>20</v>
      </c>
      <c r="J14" s="74">
        <f>Calculator!$X$20</f>
        <v>20</v>
      </c>
      <c r="K14" s="75">
        <v>77</v>
      </c>
      <c r="L14" s="76">
        <f t="shared" si="5"/>
        <v>25</v>
      </c>
      <c r="M14" s="77">
        <f>55+2*F14</f>
        <v>75</v>
      </c>
      <c r="N14" s="78">
        <f>63.2*PI()*M14*0.01</f>
        <v>148.91149178015621</v>
      </c>
      <c r="O14" s="79">
        <f>1.2-0.0181*F14</f>
        <v>1.0189999999999999</v>
      </c>
      <c r="P14" s="80">
        <f t="shared" si="6"/>
        <v>21.318036985808835</v>
      </c>
      <c r="Q14" s="80">
        <f t="shared" si="1"/>
        <v>31.318036985808835</v>
      </c>
      <c r="R14" s="81">
        <f t="shared" si="0"/>
        <v>21.318036985808835</v>
      </c>
      <c r="S14" s="81">
        <f t="shared" si="0"/>
        <v>31.318036985808835</v>
      </c>
      <c r="T14" s="82">
        <f t="shared" si="7"/>
        <v>70.372466574455899</v>
      </c>
      <c r="U14" s="82">
        <f t="shared" si="7"/>
        <v>88.372466574455899</v>
      </c>
      <c r="V14" s="83">
        <f t="shared" si="8"/>
        <v>25</v>
      </c>
      <c r="W14" s="84">
        <f t="shared" si="9"/>
        <v>46.318036985808831</v>
      </c>
      <c r="X14" s="84">
        <f t="shared" si="10"/>
        <v>56.318036985808831</v>
      </c>
      <c r="Y14" s="84">
        <f t="shared" si="11"/>
        <v>115.3724665744559</v>
      </c>
      <c r="Z14" s="84">
        <f t="shared" si="11"/>
        <v>133.3724665744559</v>
      </c>
      <c r="AA14" s="85">
        <f t="shared" si="2"/>
        <v>115.3724665744559</v>
      </c>
      <c r="AB14" s="86">
        <f t="shared" si="2"/>
        <v>133.3724665744559</v>
      </c>
      <c r="AC14" s="86">
        <f t="shared" si="12"/>
        <v>46.318036985808838</v>
      </c>
      <c r="AD14" s="86">
        <f t="shared" si="12"/>
        <v>56.318036985808838</v>
      </c>
      <c r="AE14" s="62" t="str">
        <f t="shared" si="3"/>
        <v/>
      </c>
      <c r="AF14" s="62" t="str">
        <f t="shared" si="13"/>
        <v/>
      </c>
      <c r="AG14" s="50">
        <v>1</v>
      </c>
      <c r="AH14" s="87" t="s">
        <v>206</v>
      </c>
      <c r="AN14" s="88">
        <v>29</v>
      </c>
      <c r="AO14" s="88">
        <v>39</v>
      </c>
    </row>
    <row r="15" spans="1:41" ht="16.5" customHeight="1" x14ac:dyDescent="0.25">
      <c r="A15" s="38" t="str">
        <f t="shared" si="4"/>
        <v>CU4 4700</v>
      </c>
      <c r="C15" s="70">
        <v>4700</v>
      </c>
      <c r="D15" s="71">
        <v>4700</v>
      </c>
      <c r="E15" s="64"/>
      <c r="F15" s="72">
        <f>Calculator!$M$2</f>
        <v>10</v>
      </c>
      <c r="G15" s="73">
        <f>Fjäderkurva!$D$14</f>
        <v>10</v>
      </c>
      <c r="H15" s="73">
        <f>Fjäderkurva!$D$19</f>
        <v>150</v>
      </c>
      <c r="I15" s="73">
        <f>Calculator!$X$19</f>
        <v>20</v>
      </c>
      <c r="J15" s="74">
        <f>Calculator!$X$20</f>
        <v>20</v>
      </c>
      <c r="K15" s="75">
        <v>77</v>
      </c>
      <c r="L15" s="76">
        <f t="shared" si="5"/>
        <v>25</v>
      </c>
      <c r="M15" s="77">
        <f>40+3*F15</f>
        <v>70</v>
      </c>
      <c r="N15" s="78">
        <f>75.2*PI()*M15*0.01</f>
        <v>165.37343728496671</v>
      </c>
      <c r="O15" s="79">
        <v>0.43</v>
      </c>
      <c r="P15" s="80">
        <f t="shared" si="6"/>
        <v>22.812521083832181</v>
      </c>
      <c r="Q15" s="80">
        <f t="shared" si="1"/>
        <v>32.812521083832181</v>
      </c>
      <c r="R15" s="81">
        <f t="shared" si="0"/>
        <v>22.812521083832181</v>
      </c>
      <c r="S15" s="81">
        <f t="shared" si="0"/>
        <v>32.812521083832181</v>
      </c>
      <c r="T15" s="82">
        <f t="shared" si="7"/>
        <v>73.062537950897934</v>
      </c>
      <c r="U15" s="82">
        <f t="shared" si="7"/>
        <v>91.062537950897934</v>
      </c>
      <c r="V15" s="83">
        <f t="shared" si="8"/>
        <v>25</v>
      </c>
      <c r="W15" s="84">
        <f t="shared" si="9"/>
        <v>47.812521083832181</v>
      </c>
      <c r="X15" s="84">
        <f t="shared" si="10"/>
        <v>57.812521083832181</v>
      </c>
      <c r="Y15" s="84">
        <f t="shared" si="11"/>
        <v>118.06253795089793</v>
      </c>
      <c r="Z15" s="84">
        <f t="shared" si="11"/>
        <v>136.06253795089793</v>
      </c>
      <c r="AA15" s="85">
        <f t="shared" si="2"/>
        <v>118.06253795089793</v>
      </c>
      <c r="AB15" s="86">
        <f t="shared" si="2"/>
        <v>136.06253795089793</v>
      </c>
      <c r="AC15" s="86">
        <f t="shared" si="12"/>
        <v>47.812521083832188</v>
      </c>
      <c r="AD15" s="86">
        <f t="shared" si="12"/>
        <v>57.812521083832188</v>
      </c>
      <c r="AE15" s="62" t="str">
        <f t="shared" si="3"/>
        <v/>
      </c>
      <c r="AF15" s="62" t="str">
        <f t="shared" si="13"/>
        <v/>
      </c>
      <c r="AG15" s="50">
        <v>1</v>
      </c>
      <c r="AH15" s="87" t="s">
        <v>206</v>
      </c>
      <c r="AN15" s="88">
        <v>27</v>
      </c>
      <c r="AO15" s="88">
        <v>37</v>
      </c>
    </row>
    <row r="16" spans="1:41" ht="16.5" customHeight="1" x14ac:dyDescent="0.25">
      <c r="A16" s="38" t="str">
        <f t="shared" si="4"/>
        <v>CU4 7500</v>
      </c>
      <c r="C16" s="70">
        <v>7500</v>
      </c>
      <c r="D16" s="71">
        <v>7500</v>
      </c>
      <c r="E16" s="64"/>
      <c r="F16" s="72">
        <f>Calculator!$M$2</f>
        <v>10</v>
      </c>
      <c r="G16" s="73">
        <f>Fjäderkurva!$D$14</f>
        <v>10</v>
      </c>
      <c r="H16" s="73">
        <f>Fjäderkurva!$D$19</f>
        <v>150</v>
      </c>
      <c r="I16" s="73">
        <f>Calculator!$X$19</f>
        <v>20</v>
      </c>
      <c r="J16" s="74">
        <f>Calculator!$X$20</f>
        <v>20</v>
      </c>
      <c r="K16" s="75">
        <v>77</v>
      </c>
      <c r="L16" s="76">
        <f t="shared" si="5"/>
        <v>25</v>
      </c>
      <c r="M16" s="77">
        <f>50+3*F16</f>
        <v>80</v>
      </c>
      <c r="N16" s="78">
        <f>95.2*PI()*M16*0.01</f>
        <v>239.26369649739863</v>
      </c>
      <c r="O16" s="79">
        <v>0.3</v>
      </c>
      <c r="P16" s="80">
        <f t="shared" si="6"/>
        <v>22.786326034521977</v>
      </c>
      <c r="Q16" s="80">
        <f t="shared" si="1"/>
        <v>32.786326034521977</v>
      </c>
      <c r="R16" s="81">
        <f t="shared" si="0"/>
        <v>22.786326034521977</v>
      </c>
      <c r="S16" s="81">
        <f t="shared" si="0"/>
        <v>32.786326034521977</v>
      </c>
      <c r="T16" s="82">
        <f t="shared" si="7"/>
        <v>73.015386862139565</v>
      </c>
      <c r="U16" s="82">
        <f t="shared" si="7"/>
        <v>91.015386862139565</v>
      </c>
      <c r="V16" s="83">
        <f t="shared" si="8"/>
        <v>25</v>
      </c>
      <c r="W16" s="84">
        <f t="shared" si="9"/>
        <v>47.786326034521977</v>
      </c>
      <c r="X16" s="84">
        <f t="shared" si="10"/>
        <v>57.786326034521977</v>
      </c>
      <c r="Y16" s="84">
        <f t="shared" si="11"/>
        <v>118.01538686213956</v>
      </c>
      <c r="Z16" s="84">
        <f t="shared" si="11"/>
        <v>136.01538686213956</v>
      </c>
      <c r="AA16" s="85">
        <f t="shared" si="2"/>
        <v>118.01538686213956</v>
      </c>
      <c r="AB16" s="86">
        <f t="shared" si="2"/>
        <v>136.01538686213956</v>
      </c>
      <c r="AC16" s="86">
        <f t="shared" si="12"/>
        <v>47.786326034521984</v>
      </c>
      <c r="AD16" s="86">
        <f t="shared" si="12"/>
        <v>57.786326034521984</v>
      </c>
      <c r="AE16" s="62" t="str">
        <f t="shared" si="3"/>
        <v/>
      </c>
      <c r="AF16" s="62" t="str">
        <f t="shared" si="13"/>
        <v/>
      </c>
      <c r="AG16" s="50">
        <v>1</v>
      </c>
      <c r="AH16" s="87" t="s">
        <v>206</v>
      </c>
      <c r="AN16" s="88">
        <v>27</v>
      </c>
      <c r="AO16" s="88">
        <v>37</v>
      </c>
    </row>
    <row r="17" spans="1:41" ht="16.5" customHeight="1" x14ac:dyDescent="0.25">
      <c r="A17" s="38" t="str">
        <f t="shared" si="4"/>
        <v>CU4 11800</v>
      </c>
      <c r="C17" s="70">
        <v>11800</v>
      </c>
      <c r="D17" s="71">
        <v>11800</v>
      </c>
      <c r="E17" s="64"/>
      <c r="F17" s="72">
        <f>Calculator!$M$2</f>
        <v>10</v>
      </c>
      <c r="G17" s="73">
        <f>Fjäderkurva!$D$14</f>
        <v>10</v>
      </c>
      <c r="H17" s="73">
        <f>Fjäderkurva!$D$19</f>
        <v>150</v>
      </c>
      <c r="I17" s="73">
        <f>Calculator!$X$19</f>
        <v>20</v>
      </c>
      <c r="J17" s="74">
        <f>Calculator!$X$20</f>
        <v>20</v>
      </c>
      <c r="K17" s="75">
        <v>77</v>
      </c>
      <c r="L17" s="76">
        <f t="shared" si="5"/>
        <v>25</v>
      </c>
      <c r="M17" s="77">
        <f>60+3*F17</f>
        <v>90</v>
      </c>
      <c r="N17" s="78">
        <f>120.2*PI()*M17*0.01</f>
        <v>339.85749326534381</v>
      </c>
      <c r="O17" s="79">
        <f>0.247-0.0023*F17</f>
        <v>0.224</v>
      </c>
      <c r="P17" s="80">
        <f t="shared" si="6"/>
        <v>22.62715155778556</v>
      </c>
      <c r="Q17" s="80">
        <f t="shared" si="1"/>
        <v>32.62715155778556</v>
      </c>
      <c r="R17" s="81">
        <f t="shared" si="0"/>
        <v>22.62715155778556</v>
      </c>
      <c r="S17" s="81">
        <f t="shared" si="0"/>
        <v>32.62715155778556</v>
      </c>
      <c r="T17" s="82">
        <f t="shared" si="7"/>
        <v>72.728872804014003</v>
      </c>
      <c r="U17" s="82">
        <f t="shared" si="7"/>
        <v>90.728872804014003</v>
      </c>
      <c r="V17" s="83">
        <f t="shared" si="8"/>
        <v>25</v>
      </c>
      <c r="W17" s="84">
        <f t="shared" si="9"/>
        <v>47.62715155778556</v>
      </c>
      <c r="X17" s="84">
        <f t="shared" si="10"/>
        <v>57.62715155778556</v>
      </c>
      <c r="Y17" s="84">
        <f t="shared" si="11"/>
        <v>117.728872804014</v>
      </c>
      <c r="Z17" s="84">
        <f t="shared" si="11"/>
        <v>135.728872804014</v>
      </c>
      <c r="AA17" s="85">
        <f t="shared" si="2"/>
        <v>117.728872804014</v>
      </c>
      <c r="AB17" s="86">
        <f t="shared" si="2"/>
        <v>135.728872804014</v>
      </c>
      <c r="AC17" s="86">
        <f t="shared" si="12"/>
        <v>47.62715155778556</v>
      </c>
      <c r="AD17" s="86">
        <f t="shared" si="12"/>
        <v>57.62715155778556</v>
      </c>
      <c r="AE17" s="62" t="str">
        <f t="shared" si="3"/>
        <v/>
      </c>
      <c r="AF17" s="62" t="str">
        <f t="shared" si="13"/>
        <v/>
      </c>
      <c r="AG17" s="50">
        <v>1</v>
      </c>
      <c r="AH17" s="87" t="s">
        <v>206</v>
      </c>
      <c r="AN17" s="88">
        <v>29</v>
      </c>
      <c r="AO17" s="88">
        <v>39</v>
      </c>
    </row>
    <row r="18" spans="1:41" ht="16.5" customHeight="1" x14ac:dyDescent="0.25">
      <c r="A18" s="38" t="str">
        <f t="shared" si="4"/>
        <v>CU4 18300</v>
      </c>
      <c r="C18" s="70">
        <v>18300</v>
      </c>
      <c r="D18" s="71">
        <v>18300</v>
      </c>
      <c r="E18" s="64"/>
      <c r="F18" s="72">
        <f>Calculator!$M$2</f>
        <v>10</v>
      </c>
      <c r="G18" s="73">
        <f>Fjäderkurva!$D$14</f>
        <v>10</v>
      </c>
      <c r="H18" s="73">
        <f>Fjäderkurva!$D$19</f>
        <v>150</v>
      </c>
      <c r="I18" s="73">
        <f>Calculator!$X$19</f>
        <v>20</v>
      </c>
      <c r="J18" s="74">
        <f>Calculator!$X$20</f>
        <v>20</v>
      </c>
      <c r="K18" s="75">
        <v>77</v>
      </c>
      <c r="L18" s="76">
        <f t="shared" si="5"/>
        <v>25</v>
      </c>
      <c r="M18" s="77">
        <f>70+3*F18</f>
        <v>100</v>
      </c>
      <c r="N18" s="78">
        <f>150.2*PI()*M18*0.01</f>
        <v>471.86721656918689</v>
      </c>
      <c r="O18" s="79">
        <f>0.25-0.0011*F18</f>
        <v>0.23899999999999999</v>
      </c>
      <c r="P18" s="80">
        <f t="shared" si="6"/>
        <v>21.773422806878365</v>
      </c>
      <c r="Q18" s="80">
        <f t="shared" si="1"/>
        <v>31.773422806878365</v>
      </c>
      <c r="R18" s="81">
        <f t="shared" si="0"/>
        <v>21.773422806878365</v>
      </c>
      <c r="S18" s="81">
        <f t="shared" si="0"/>
        <v>31.773422806878365</v>
      </c>
      <c r="T18" s="82">
        <f t="shared" si="7"/>
        <v>71.192161052381067</v>
      </c>
      <c r="U18" s="82">
        <f t="shared" si="7"/>
        <v>89.192161052381067</v>
      </c>
      <c r="V18" s="83">
        <f t="shared" si="8"/>
        <v>25</v>
      </c>
      <c r="W18" s="84">
        <f t="shared" si="9"/>
        <v>46.773422806878365</v>
      </c>
      <c r="X18" s="84">
        <f t="shared" si="10"/>
        <v>56.773422806878365</v>
      </c>
      <c r="Y18" s="84">
        <f t="shared" si="11"/>
        <v>116.19216105238105</v>
      </c>
      <c r="Z18" s="84">
        <f t="shared" si="11"/>
        <v>134.19216105238104</v>
      </c>
      <c r="AA18" s="85">
        <f t="shared" si="2"/>
        <v>116.19216105238105</v>
      </c>
      <c r="AB18" s="86">
        <f t="shared" si="2"/>
        <v>134.19216105238104</v>
      </c>
      <c r="AC18" s="86">
        <f t="shared" si="12"/>
        <v>46.773422806878365</v>
      </c>
      <c r="AD18" s="86">
        <f t="shared" si="12"/>
        <v>56.773422806878358</v>
      </c>
      <c r="AE18" s="62" t="str">
        <f t="shared" si="3"/>
        <v/>
      </c>
      <c r="AF18" s="62" t="str">
        <f t="shared" si="13"/>
        <v/>
      </c>
      <c r="AG18" s="50">
        <v>1</v>
      </c>
      <c r="AH18" s="87" t="s">
        <v>206</v>
      </c>
      <c r="AN18" s="88">
        <v>27</v>
      </c>
      <c r="AO18" s="88">
        <v>37</v>
      </c>
    </row>
    <row r="19" spans="1:41" ht="15" customHeight="1" x14ac:dyDescent="0.25">
      <c r="D19" s="89"/>
      <c r="L19" s="90"/>
      <c r="M19" s="58"/>
      <c r="N19" s="58"/>
      <c r="O19" s="58"/>
      <c r="T19" s="91"/>
      <c r="U19" s="91"/>
      <c r="V19" s="92"/>
      <c r="W19" s="92"/>
      <c r="X19" s="92"/>
      <c r="Y19" s="92"/>
      <c r="Z19" s="92"/>
      <c r="AC19" s="93"/>
      <c r="AD19" s="93"/>
      <c r="AE19" s="62"/>
      <c r="AF19" s="62"/>
      <c r="AG19" s="50"/>
      <c r="AH19" s="51"/>
      <c r="AN19" s="88"/>
      <c r="AO19" s="88"/>
    </row>
    <row r="20" spans="1:41" ht="15" customHeight="1" x14ac:dyDescent="0.25">
      <c r="D20" s="89"/>
      <c r="L20" s="90"/>
      <c r="M20" s="58"/>
      <c r="N20" s="58"/>
      <c r="O20" s="58"/>
      <c r="T20" s="91"/>
      <c r="U20" s="91"/>
      <c r="V20" s="92"/>
      <c r="W20" s="92"/>
      <c r="X20" s="92"/>
      <c r="Y20" s="92"/>
      <c r="Z20" s="92"/>
      <c r="AC20" s="93"/>
      <c r="AD20" s="93"/>
      <c r="AE20" s="62"/>
      <c r="AF20" s="62"/>
      <c r="AG20" s="50"/>
      <c r="AH20" s="51"/>
      <c r="AN20" s="88"/>
      <c r="AO20" s="88"/>
    </row>
    <row r="21" spans="1:41" ht="15" customHeight="1" x14ac:dyDescent="0.25">
      <c r="C21" s="63" t="s">
        <v>207</v>
      </c>
      <c r="D21" s="54" t="s">
        <v>67</v>
      </c>
      <c r="F21" s="55" t="s">
        <v>175</v>
      </c>
      <c r="G21" s="55" t="s">
        <v>176</v>
      </c>
      <c r="H21" s="55" t="s">
        <v>177</v>
      </c>
      <c r="I21" s="55" t="s">
        <v>178</v>
      </c>
      <c r="J21" s="55" t="s">
        <v>179</v>
      </c>
      <c r="K21" s="56" t="s">
        <v>179</v>
      </c>
      <c r="L21" s="57" t="s">
        <v>179</v>
      </c>
      <c r="M21" s="58"/>
      <c r="N21" s="58"/>
      <c r="O21" s="58"/>
      <c r="P21" s="59" t="s">
        <v>180</v>
      </c>
      <c r="R21" s="59" t="str">
        <f t="shared" ref="R21:R26" si="14">P21</f>
        <v>Estimated running</v>
      </c>
      <c r="V21" s="60" t="s">
        <v>181</v>
      </c>
      <c r="Y21" s="61"/>
      <c r="AB21" s="33" t="str">
        <f>P21</f>
        <v>Estimated running</v>
      </c>
      <c r="AC21" s="93"/>
      <c r="AD21" s="93"/>
      <c r="AE21" s="62"/>
      <c r="AF21" s="62"/>
      <c r="AG21" s="50">
        <v>1</v>
      </c>
      <c r="AH21" s="51"/>
      <c r="AN21" s="88"/>
      <c r="AO21" s="88"/>
    </row>
    <row r="22" spans="1:41" ht="15" customHeight="1" x14ac:dyDescent="0.25">
      <c r="D22" s="54"/>
      <c r="E22" s="64"/>
      <c r="F22" s="55"/>
      <c r="G22" s="55" t="s">
        <v>182</v>
      </c>
      <c r="H22" s="55"/>
      <c r="I22" s="55"/>
      <c r="J22" s="55" t="s">
        <v>183</v>
      </c>
      <c r="K22" s="56" t="s">
        <v>183</v>
      </c>
      <c r="L22" s="57" t="s">
        <v>183</v>
      </c>
      <c r="M22" s="65"/>
      <c r="N22" s="65"/>
      <c r="O22" s="65"/>
      <c r="P22" s="59" t="s">
        <v>187</v>
      </c>
      <c r="R22" s="59" t="str">
        <f t="shared" si="14"/>
        <v>temperature between:</v>
      </c>
      <c r="V22" s="66" t="s">
        <v>188</v>
      </c>
      <c r="Y22" s="61"/>
      <c r="AB22" s="33" t="str">
        <f>P22</f>
        <v>temperature between:</v>
      </c>
      <c r="AC22" s="93"/>
      <c r="AD22" s="93"/>
      <c r="AE22" s="62"/>
      <c r="AF22" s="62"/>
      <c r="AG22" s="50">
        <v>1</v>
      </c>
      <c r="AH22" s="51"/>
      <c r="AN22" s="88"/>
      <c r="AO22" s="88"/>
    </row>
    <row r="23" spans="1:41" ht="15" customHeight="1" x14ac:dyDescent="0.25">
      <c r="C23" s="67" t="s">
        <v>189</v>
      </c>
      <c r="D23" s="68" t="s">
        <v>189</v>
      </c>
      <c r="E23" s="69"/>
      <c r="F23" s="55"/>
      <c r="G23" s="55" t="s">
        <v>190</v>
      </c>
      <c r="H23" s="55" t="s">
        <v>191</v>
      </c>
      <c r="I23" s="55" t="s">
        <v>192</v>
      </c>
      <c r="J23" s="55" t="s">
        <v>193</v>
      </c>
      <c r="K23" s="56" t="s">
        <v>194</v>
      </c>
      <c r="L23" s="57" t="s">
        <v>193</v>
      </c>
      <c r="M23" s="65"/>
      <c r="N23" s="65"/>
      <c r="O23" s="65"/>
      <c r="P23" s="29" t="s">
        <v>193</v>
      </c>
      <c r="Q23" s="29" t="s">
        <v>193</v>
      </c>
      <c r="R23" s="29" t="str">
        <f t="shared" si="14"/>
        <v>[°C]</v>
      </c>
      <c r="S23" s="29" t="str">
        <f>Q23</f>
        <v>[°C]</v>
      </c>
      <c r="T23" s="31" t="s">
        <v>198</v>
      </c>
      <c r="U23" s="31" t="s">
        <v>199</v>
      </c>
      <c r="V23" s="66" t="s">
        <v>200</v>
      </c>
      <c r="W23" s="60" t="s">
        <v>201</v>
      </c>
      <c r="X23" s="60" t="s">
        <v>202</v>
      </c>
      <c r="Y23" s="60" t="s">
        <v>203</v>
      </c>
      <c r="Z23" s="60" t="s">
        <v>204</v>
      </c>
      <c r="AA23" s="26" t="s">
        <v>194</v>
      </c>
      <c r="AB23" s="26" t="s">
        <v>194</v>
      </c>
      <c r="AC23" s="26" t="s">
        <v>193</v>
      </c>
      <c r="AD23" s="26" t="s">
        <v>193</v>
      </c>
      <c r="AE23" s="62"/>
      <c r="AF23" s="62"/>
      <c r="AG23" s="50">
        <v>1</v>
      </c>
      <c r="AH23" s="51"/>
      <c r="AN23" s="88"/>
      <c r="AO23" s="88"/>
    </row>
    <row r="24" spans="1:41" ht="15" customHeight="1" x14ac:dyDescent="0.25">
      <c r="A24" s="38" t="str">
        <f>CONCATENATE("CX"," ",D24)</f>
        <v>CX 500</v>
      </c>
      <c r="C24" s="70">
        <v>500</v>
      </c>
      <c r="D24" s="71">
        <v>500</v>
      </c>
      <c r="E24" s="64"/>
      <c r="F24" s="72">
        <f>Calculator!$M$2</f>
        <v>10</v>
      </c>
      <c r="G24" s="73">
        <f>Fjäderkurva!$D$14</f>
        <v>10</v>
      </c>
      <c r="H24" s="73">
        <f>Fjäderkurva!$D$19</f>
        <v>150</v>
      </c>
      <c r="I24" s="73">
        <f>Calculator!$X$19</f>
        <v>20</v>
      </c>
      <c r="J24" s="74">
        <f>Calculator!$X$20</f>
        <v>20</v>
      </c>
      <c r="K24" s="75">
        <v>77</v>
      </c>
      <c r="L24" s="76">
        <f t="shared" si="5"/>
        <v>25</v>
      </c>
      <c r="M24" s="77"/>
      <c r="N24" s="78"/>
      <c r="O24" s="79"/>
      <c r="P24" s="80">
        <f>0.8*(75*(I24/((IF(F24=10,26834,(IF(F24=15,28528,(IF(F24=25,30815,(IF(F24=38,32827,(IF(F24=50,34215,(IF(F24=63,35431,(IF(F24=80,36732,0))))))))))))))*G24^-1.65))*(H24/185)^1.4)+J24</f>
        <v>21.489303374431866</v>
      </c>
      <c r="Q24" s="80">
        <f>P24+10</f>
        <v>31.489303374431866</v>
      </c>
      <c r="R24" s="81">
        <f t="shared" si="14"/>
        <v>21.489303374431866</v>
      </c>
      <c r="S24" s="81">
        <f>Q24</f>
        <v>31.489303374431866</v>
      </c>
      <c r="T24" s="82">
        <f t="shared" si="7"/>
        <v>70.68074607397736</v>
      </c>
      <c r="U24" s="82">
        <f t="shared" si="7"/>
        <v>88.68074607397736</v>
      </c>
      <c r="V24" s="83">
        <f t="shared" ref="V24:V87" si="15">5/9*(K24-32)</f>
        <v>25</v>
      </c>
      <c r="W24" s="84">
        <f t="shared" ref="W24:W87" si="16">P24+V24</f>
        <v>46.48930337443187</v>
      </c>
      <c r="X24" s="84">
        <f t="shared" si="10"/>
        <v>56.48930337443187</v>
      </c>
      <c r="Y24" s="84">
        <f t="shared" ref="Y24:Z82" si="17">9/5*W24+32</f>
        <v>115.68074607397737</v>
      </c>
      <c r="Z24" s="84">
        <f t="shared" si="17"/>
        <v>133.68074607397739</v>
      </c>
      <c r="AA24" s="85">
        <f t="shared" si="2"/>
        <v>115.68074607397737</v>
      </c>
      <c r="AB24" s="86">
        <f t="shared" si="2"/>
        <v>133.68074607397739</v>
      </c>
      <c r="AC24" s="86">
        <f t="shared" si="12"/>
        <v>46.489303374431877</v>
      </c>
      <c r="AD24" s="86">
        <f t="shared" si="12"/>
        <v>56.489303374431884</v>
      </c>
      <c r="AE24" s="62" t="str">
        <f>IF(Q24&gt;80,"High temp. Please contact your distributor for advice",IF(H24&gt;200,"Too high charging pressure!",""))</f>
        <v/>
      </c>
      <c r="AF24" s="62" t="str">
        <f t="shared" si="13"/>
        <v/>
      </c>
      <c r="AG24" s="50">
        <v>1</v>
      </c>
      <c r="AH24" s="87" t="s">
        <v>208</v>
      </c>
      <c r="AN24" s="88">
        <v>32</v>
      </c>
      <c r="AO24" s="88">
        <v>42</v>
      </c>
    </row>
    <row r="25" spans="1:41" ht="15" customHeight="1" x14ac:dyDescent="0.25">
      <c r="A25" s="38" t="str">
        <f t="shared" ref="A25:A26" si="18">CONCATENATE("CX"," ",D25)</f>
        <v>CX 1000</v>
      </c>
      <c r="C25" s="70">
        <v>1000</v>
      </c>
      <c r="D25" s="71">
        <v>1000</v>
      </c>
      <c r="E25" s="64"/>
      <c r="F25" s="72">
        <f>Calculator!$M$2</f>
        <v>10</v>
      </c>
      <c r="G25" s="73">
        <f>Fjäderkurva!$D$14</f>
        <v>10</v>
      </c>
      <c r="H25" s="73">
        <f>Fjäderkurva!$D$19</f>
        <v>150</v>
      </c>
      <c r="I25" s="73">
        <f>Calculator!$X$19</f>
        <v>20</v>
      </c>
      <c r="J25" s="74">
        <f>Calculator!$X$20</f>
        <v>20</v>
      </c>
      <c r="K25" s="75">
        <v>77</v>
      </c>
      <c r="L25" s="76">
        <f t="shared" si="5"/>
        <v>25</v>
      </c>
      <c r="M25" s="77"/>
      <c r="N25" s="78"/>
      <c r="O25" s="79"/>
      <c r="P25" s="80">
        <f>0.8*(75*(I25/((IF(F25=10,110943,(IF(F25=15,120314,(IF(F25=25,133256,(IF(F25=38,144895,(IF(F25=50,153071,(IF(F25=63,160312,(IF(F25=80,168157,0))))))))))))))*G25^-1.9))*(H25/120)^1.4)+J25</f>
        <v>21.174235913184937</v>
      </c>
      <c r="Q25" s="80">
        <f>P25+10</f>
        <v>31.174235913184937</v>
      </c>
      <c r="R25" s="81">
        <f t="shared" si="14"/>
        <v>21.174235913184937</v>
      </c>
      <c r="S25" s="81">
        <f>Q25</f>
        <v>31.174235913184937</v>
      </c>
      <c r="T25" s="82">
        <f t="shared" si="7"/>
        <v>70.113624643732891</v>
      </c>
      <c r="U25" s="82">
        <f t="shared" si="7"/>
        <v>88.113624643732891</v>
      </c>
      <c r="V25" s="83">
        <f t="shared" si="15"/>
        <v>25</v>
      </c>
      <c r="W25" s="84">
        <f t="shared" si="16"/>
        <v>46.174235913184937</v>
      </c>
      <c r="X25" s="84">
        <f t="shared" si="10"/>
        <v>56.174235913184937</v>
      </c>
      <c r="Y25" s="84">
        <f t="shared" si="17"/>
        <v>115.11362464373289</v>
      </c>
      <c r="Z25" s="84">
        <f t="shared" si="17"/>
        <v>133.11362464373289</v>
      </c>
      <c r="AA25" s="85">
        <f t="shared" si="2"/>
        <v>115.11362464373289</v>
      </c>
      <c r="AB25" s="86">
        <f t="shared" si="2"/>
        <v>133.11362464373289</v>
      </c>
      <c r="AC25" s="86">
        <f t="shared" si="12"/>
        <v>46.174235913184944</v>
      </c>
      <c r="AD25" s="86">
        <f t="shared" si="12"/>
        <v>56.174235913184944</v>
      </c>
      <c r="AE25" s="62" t="str">
        <f>IF(Q25&gt;80,"High temp. Please contact your distributor for advice",IF(H25&gt;200,"Too high charging pressure!",""))</f>
        <v/>
      </c>
      <c r="AF25" s="62" t="str">
        <f t="shared" si="13"/>
        <v/>
      </c>
      <c r="AG25" s="50">
        <v>1</v>
      </c>
      <c r="AH25" s="87" t="s">
        <v>208</v>
      </c>
      <c r="AN25" s="88">
        <v>32</v>
      </c>
      <c r="AO25" s="88">
        <v>42</v>
      </c>
    </row>
    <row r="26" spans="1:41" ht="15" customHeight="1" x14ac:dyDescent="0.25">
      <c r="A26" s="38" t="str">
        <f t="shared" si="18"/>
        <v>CX 1900</v>
      </c>
      <c r="C26" s="70">
        <v>1900</v>
      </c>
      <c r="D26" s="71">
        <v>1900</v>
      </c>
      <c r="E26" s="64"/>
      <c r="F26" s="72">
        <f>Calculator!$M$2</f>
        <v>10</v>
      </c>
      <c r="G26" s="73">
        <f>Fjäderkurva!$D$14</f>
        <v>10</v>
      </c>
      <c r="H26" s="73">
        <f>Fjäderkurva!$D$19</f>
        <v>150</v>
      </c>
      <c r="I26" s="73">
        <f>Calculator!$X$19</f>
        <v>20</v>
      </c>
      <c r="J26" s="74">
        <f>Calculator!$X$20</f>
        <v>20</v>
      </c>
      <c r="K26" s="75">
        <v>77</v>
      </c>
      <c r="L26" s="76">
        <f t="shared" si="5"/>
        <v>25</v>
      </c>
      <c r="M26" s="77"/>
      <c r="N26" s="78"/>
      <c r="O26" s="79"/>
      <c r="P26" s="80">
        <f>0.8*(75*(I26/((IF(F26=10,201684,(IF(F26=15,223653,(IF(F26=25,254769,(IF(F26=38,283476,(IF(F26=50,304025,(IF(F26=63,322480,(IF(F26=80,342736,0))))))))))))))*G26^-2.25))*(H26/165)^1.4)+J26</f>
        <v>20.925891379679847</v>
      </c>
      <c r="Q26" s="80">
        <f>P26+10</f>
        <v>30.925891379679847</v>
      </c>
      <c r="R26" s="81">
        <f t="shared" si="14"/>
        <v>20.925891379679847</v>
      </c>
      <c r="S26" s="81">
        <f>Q26</f>
        <v>30.925891379679847</v>
      </c>
      <c r="T26" s="82">
        <f t="shared" si="7"/>
        <v>69.666604483423725</v>
      </c>
      <c r="U26" s="82">
        <f t="shared" si="7"/>
        <v>87.666604483423725</v>
      </c>
      <c r="V26" s="83">
        <f t="shared" si="15"/>
        <v>25</v>
      </c>
      <c r="W26" s="84">
        <f t="shared" si="16"/>
        <v>45.925891379679847</v>
      </c>
      <c r="X26" s="84">
        <f t="shared" si="10"/>
        <v>55.925891379679847</v>
      </c>
      <c r="Y26" s="84">
        <f t="shared" si="17"/>
        <v>114.66660448342373</v>
      </c>
      <c r="Z26" s="84">
        <f t="shared" si="17"/>
        <v>132.66660448342373</v>
      </c>
      <c r="AA26" s="85">
        <f t="shared" si="2"/>
        <v>114.66660448342373</v>
      </c>
      <c r="AB26" s="86">
        <f t="shared" si="2"/>
        <v>132.66660448342373</v>
      </c>
      <c r="AC26" s="86">
        <f t="shared" si="12"/>
        <v>45.925891379679847</v>
      </c>
      <c r="AD26" s="86">
        <f t="shared" si="12"/>
        <v>55.925891379679847</v>
      </c>
      <c r="AE26" s="62" t="str">
        <f>IF(Q26&gt;80,"High temp. Please contact your distributor for advice",IF(H26&gt;200,"Too high charging pressure!",""))</f>
        <v/>
      </c>
      <c r="AF26" s="62" t="str">
        <f t="shared" si="13"/>
        <v/>
      </c>
      <c r="AG26" s="50">
        <v>1</v>
      </c>
      <c r="AH26" s="87" t="s">
        <v>208</v>
      </c>
      <c r="AN26" s="88">
        <v>34</v>
      </c>
      <c r="AO26" s="88">
        <v>44</v>
      </c>
    </row>
    <row r="27" spans="1:41" ht="15" customHeight="1" x14ac:dyDescent="0.25">
      <c r="E27" s="64"/>
      <c r="L27" s="90"/>
      <c r="M27" s="58"/>
      <c r="N27" s="58"/>
      <c r="O27" s="58"/>
      <c r="T27" s="91"/>
      <c r="U27" s="91"/>
      <c r="V27" s="92"/>
      <c r="W27" s="92"/>
      <c r="X27" s="92"/>
      <c r="Y27" s="92"/>
      <c r="Z27" s="92"/>
      <c r="AC27" s="93"/>
      <c r="AD27" s="93"/>
      <c r="AE27" s="62"/>
      <c r="AF27" s="62"/>
      <c r="AG27" s="50"/>
      <c r="AH27" s="51"/>
      <c r="AN27" s="88"/>
      <c r="AO27" s="88"/>
    </row>
    <row r="28" spans="1:41" ht="15" customHeight="1" x14ac:dyDescent="0.25">
      <c r="E28" s="64"/>
      <c r="L28" s="90"/>
      <c r="M28" s="58"/>
      <c r="N28" s="58"/>
      <c r="O28" s="58"/>
      <c r="T28" s="91"/>
      <c r="U28" s="91"/>
      <c r="V28" s="92"/>
      <c r="W28" s="92"/>
      <c r="X28" s="92"/>
      <c r="Y28" s="92"/>
      <c r="Z28" s="92"/>
      <c r="AC28" s="93"/>
      <c r="AD28" s="93"/>
      <c r="AE28" s="62"/>
      <c r="AF28" s="62"/>
      <c r="AG28" s="50"/>
      <c r="AH28" s="51"/>
      <c r="AN28" s="88"/>
      <c r="AO28" s="88"/>
    </row>
    <row r="29" spans="1:41" ht="15" customHeight="1" x14ac:dyDescent="0.25">
      <c r="C29" s="63" t="s">
        <v>209</v>
      </c>
      <c r="D29" s="54" t="s">
        <v>64</v>
      </c>
      <c r="F29" s="55" t="s">
        <v>175</v>
      </c>
      <c r="G29" s="55" t="s">
        <v>176</v>
      </c>
      <c r="H29" s="55" t="s">
        <v>177</v>
      </c>
      <c r="I29" s="55" t="s">
        <v>178</v>
      </c>
      <c r="J29" s="55" t="s">
        <v>179</v>
      </c>
      <c r="K29" s="56" t="s">
        <v>179</v>
      </c>
      <c r="L29" s="57" t="s">
        <v>179</v>
      </c>
      <c r="M29" s="58"/>
      <c r="N29" s="58"/>
      <c r="O29" s="58"/>
      <c r="P29" s="59" t="s">
        <v>180</v>
      </c>
      <c r="R29" s="59" t="str">
        <f t="shared" ref="R29:R34" si="19">P29</f>
        <v>Estimated running</v>
      </c>
      <c r="V29" s="60" t="s">
        <v>181</v>
      </c>
      <c r="Y29" s="61"/>
      <c r="AB29" s="33" t="str">
        <f>P29</f>
        <v>Estimated running</v>
      </c>
      <c r="AC29" s="93"/>
      <c r="AD29" s="93"/>
      <c r="AE29" s="62"/>
      <c r="AF29" s="62"/>
      <c r="AG29" s="50">
        <v>1</v>
      </c>
      <c r="AH29" s="51"/>
      <c r="AN29" s="88"/>
      <c r="AO29" s="88"/>
    </row>
    <row r="30" spans="1:41" s="64" customFormat="1" ht="15" customHeight="1" x14ac:dyDescent="0.25">
      <c r="A30" s="38"/>
      <c r="B30" s="38"/>
      <c r="C30" s="40"/>
      <c r="D30" s="54"/>
      <c r="F30" s="55"/>
      <c r="G30" s="55" t="s">
        <v>182</v>
      </c>
      <c r="H30" s="55"/>
      <c r="I30" s="55"/>
      <c r="J30" s="55" t="s">
        <v>183</v>
      </c>
      <c r="K30" s="56" t="s">
        <v>183</v>
      </c>
      <c r="L30" s="57" t="s">
        <v>183</v>
      </c>
      <c r="M30" s="65" t="s">
        <v>186</v>
      </c>
      <c r="N30" s="65" t="s">
        <v>210</v>
      </c>
      <c r="O30" s="65" t="s">
        <v>211</v>
      </c>
      <c r="P30" s="59" t="s">
        <v>187</v>
      </c>
      <c r="Q30" s="29"/>
      <c r="R30" s="59" t="str">
        <f t="shared" si="19"/>
        <v>temperature between:</v>
      </c>
      <c r="S30" s="29"/>
      <c r="T30" s="31"/>
      <c r="U30" s="31"/>
      <c r="V30" s="66" t="s">
        <v>188</v>
      </c>
      <c r="W30" s="32"/>
      <c r="X30" s="32"/>
      <c r="Y30" s="61"/>
      <c r="Z30" s="32"/>
      <c r="AA30" s="33"/>
      <c r="AB30" s="33" t="str">
        <f>P30</f>
        <v>temperature between:</v>
      </c>
      <c r="AC30" s="93"/>
      <c r="AD30" s="93"/>
      <c r="AE30" s="62"/>
      <c r="AF30" s="62"/>
      <c r="AG30" s="94">
        <v>1</v>
      </c>
      <c r="AH30" s="95"/>
      <c r="AN30" s="88"/>
      <c r="AO30" s="88"/>
    </row>
    <row r="31" spans="1:41" s="64" customFormat="1" ht="15" customHeight="1" x14ac:dyDescent="0.25">
      <c r="A31" s="38"/>
      <c r="B31" s="38"/>
      <c r="C31" s="67" t="s">
        <v>189</v>
      </c>
      <c r="D31" s="68" t="s">
        <v>189</v>
      </c>
      <c r="E31" s="69"/>
      <c r="F31" s="55"/>
      <c r="G31" s="55" t="s">
        <v>190</v>
      </c>
      <c r="H31" s="55" t="s">
        <v>191</v>
      </c>
      <c r="I31" s="55" t="s">
        <v>192</v>
      </c>
      <c r="J31" s="55" t="s">
        <v>193</v>
      </c>
      <c r="K31" s="56" t="s">
        <v>194</v>
      </c>
      <c r="L31" s="57" t="s">
        <v>193</v>
      </c>
      <c r="M31" s="65" t="s">
        <v>212</v>
      </c>
      <c r="N31" s="65" t="s">
        <v>213</v>
      </c>
      <c r="O31" s="65" t="s">
        <v>214</v>
      </c>
      <c r="P31" s="29" t="s">
        <v>193</v>
      </c>
      <c r="Q31" s="29" t="s">
        <v>193</v>
      </c>
      <c r="R31" s="29" t="str">
        <f t="shared" si="19"/>
        <v>[°C]</v>
      </c>
      <c r="S31" s="29" t="str">
        <f>Q31</f>
        <v>[°C]</v>
      </c>
      <c r="T31" s="31" t="s">
        <v>198</v>
      </c>
      <c r="U31" s="31" t="s">
        <v>199</v>
      </c>
      <c r="V31" s="66" t="s">
        <v>200</v>
      </c>
      <c r="W31" s="60" t="s">
        <v>201</v>
      </c>
      <c r="X31" s="60" t="s">
        <v>202</v>
      </c>
      <c r="Y31" s="60" t="s">
        <v>203</v>
      </c>
      <c r="Z31" s="60" t="s">
        <v>204</v>
      </c>
      <c r="AA31" s="26" t="s">
        <v>194</v>
      </c>
      <c r="AB31" s="26" t="s">
        <v>194</v>
      </c>
      <c r="AC31" s="26" t="s">
        <v>193</v>
      </c>
      <c r="AD31" s="26" t="s">
        <v>193</v>
      </c>
      <c r="AE31" s="62"/>
      <c r="AF31" s="62"/>
      <c r="AG31" s="94">
        <v>1</v>
      </c>
      <c r="AH31" s="95"/>
      <c r="AN31" s="88"/>
      <c r="AO31" s="88"/>
    </row>
    <row r="32" spans="1:41" ht="15" customHeight="1" x14ac:dyDescent="0.25">
      <c r="A32" s="38" t="s">
        <v>266</v>
      </c>
      <c r="C32" s="96">
        <v>500</v>
      </c>
      <c r="D32" s="71" t="s">
        <v>215</v>
      </c>
      <c r="E32" s="64"/>
      <c r="F32" s="72">
        <f>Calculator!$M$2</f>
        <v>10</v>
      </c>
      <c r="G32" s="73">
        <f>Fjäderkurva!$D$14</f>
        <v>10</v>
      </c>
      <c r="H32" s="73">
        <f>Fjäderkurva!$D$19</f>
        <v>150</v>
      </c>
      <c r="I32" s="73">
        <f>Calculator!$X$19</f>
        <v>20</v>
      </c>
      <c r="J32" s="74">
        <f>Calculator!$X$20</f>
        <v>20</v>
      </c>
      <c r="K32" s="97">
        <v>77</v>
      </c>
      <c r="L32" s="98">
        <f t="shared" si="5"/>
        <v>25</v>
      </c>
      <c r="M32" s="99">
        <f>0.00000157*F32^2-0.00026*F32+0.0139</f>
        <v>1.1456999999999998E-2</v>
      </c>
      <c r="N32" s="100">
        <f>0.2*(H32/150)^2+0.3*(H32/150)+0.5</f>
        <v>1</v>
      </c>
      <c r="O32" s="100">
        <f>0.1554*EXP(1.7*(G32/F32))+0.15</f>
        <v>1.0006514246744069</v>
      </c>
      <c r="P32" s="80">
        <f>F32*I32*M32*N32*O32+J32</f>
        <v>22.292892674498937</v>
      </c>
      <c r="Q32" s="80">
        <f>P32+10</f>
        <v>32.292892674498937</v>
      </c>
      <c r="R32" s="81">
        <f t="shared" si="19"/>
        <v>22.292892674498937</v>
      </c>
      <c r="S32" s="81">
        <f>Q32</f>
        <v>32.292892674498937</v>
      </c>
      <c r="T32" s="82">
        <f t="shared" si="7"/>
        <v>72.127206814098088</v>
      </c>
      <c r="U32" s="82">
        <f t="shared" si="7"/>
        <v>90.127206814098088</v>
      </c>
      <c r="V32" s="83">
        <f t="shared" si="15"/>
        <v>25</v>
      </c>
      <c r="W32" s="84">
        <f t="shared" si="16"/>
        <v>47.292892674498937</v>
      </c>
      <c r="X32" s="84">
        <f t="shared" si="10"/>
        <v>57.292892674498937</v>
      </c>
      <c r="Y32" s="84">
        <f t="shared" si="17"/>
        <v>117.12720681409809</v>
      </c>
      <c r="Z32" s="84">
        <f t="shared" si="17"/>
        <v>135.12720681409809</v>
      </c>
      <c r="AA32" s="85">
        <f t="shared" si="2"/>
        <v>117.12720681409809</v>
      </c>
      <c r="AB32" s="86">
        <f t="shared" si="2"/>
        <v>135.12720681409809</v>
      </c>
      <c r="AC32" s="86">
        <f t="shared" si="12"/>
        <v>47.292892674498937</v>
      </c>
      <c r="AD32" s="86">
        <f t="shared" si="12"/>
        <v>57.292892674498937</v>
      </c>
      <c r="AE32" s="62" t="str">
        <f>IF(Q32&gt;80,"High temp. Please contact your distributor for advice",IF(H32&gt;150,"Too high charging pressure!",""))</f>
        <v/>
      </c>
      <c r="AF32" s="62" t="str">
        <f t="shared" si="13"/>
        <v/>
      </c>
      <c r="AG32" s="50">
        <v>1</v>
      </c>
      <c r="AH32" s="87" t="s">
        <v>216</v>
      </c>
      <c r="AN32" s="88">
        <v>28</v>
      </c>
      <c r="AO32" s="88">
        <v>38</v>
      </c>
    </row>
    <row r="33" spans="1:41" ht="15" customHeight="1" x14ac:dyDescent="0.25">
      <c r="A33" s="38" t="s">
        <v>267</v>
      </c>
      <c r="C33" s="96">
        <v>750</v>
      </c>
      <c r="D33" s="71" t="s">
        <v>217</v>
      </c>
      <c r="E33" s="64"/>
      <c r="F33" s="72">
        <f>Calculator!$M$2</f>
        <v>10</v>
      </c>
      <c r="G33" s="73">
        <f>Fjäderkurva!$D$14</f>
        <v>10</v>
      </c>
      <c r="H33" s="73">
        <f>Fjäderkurva!$D$19</f>
        <v>150</v>
      </c>
      <c r="I33" s="73">
        <f>Calculator!$X$19</f>
        <v>20</v>
      </c>
      <c r="J33" s="74">
        <f>Calculator!$X$20</f>
        <v>20</v>
      </c>
      <c r="K33" s="97">
        <v>77</v>
      </c>
      <c r="L33" s="98">
        <f t="shared" si="5"/>
        <v>25</v>
      </c>
      <c r="M33" s="99">
        <f>0.0000020455*F33^2-0.00037599*F33+0.02</f>
        <v>1.6444650000000002E-2</v>
      </c>
      <c r="N33" s="100">
        <f>0.3*(H33/150)^2+0.3*(H33/150)+0.4</f>
        <v>1</v>
      </c>
      <c r="O33" s="100">
        <f>0.1564*EXP(1.75*(G33/F33))+0.1</f>
        <v>1.0000198585272964</v>
      </c>
      <c r="P33" s="80">
        <f>F33*I33*M33*N33*O33+J33</f>
        <v>23.288995313306181</v>
      </c>
      <c r="Q33" s="80">
        <f>P33+10</f>
        <v>33.288995313306181</v>
      </c>
      <c r="R33" s="81">
        <f t="shared" si="19"/>
        <v>23.288995313306181</v>
      </c>
      <c r="S33" s="81">
        <f>Q33</f>
        <v>33.288995313306181</v>
      </c>
      <c r="T33" s="82">
        <f t="shared" si="7"/>
        <v>73.920191563951136</v>
      </c>
      <c r="U33" s="82">
        <f t="shared" si="7"/>
        <v>91.920191563951136</v>
      </c>
      <c r="V33" s="83">
        <f t="shared" si="15"/>
        <v>25</v>
      </c>
      <c r="W33" s="84">
        <f t="shared" si="16"/>
        <v>48.288995313306181</v>
      </c>
      <c r="X33" s="84">
        <f t="shared" si="10"/>
        <v>58.288995313306181</v>
      </c>
      <c r="Y33" s="84">
        <f t="shared" si="17"/>
        <v>118.92019156395112</v>
      </c>
      <c r="Z33" s="84">
        <f t="shared" si="17"/>
        <v>136.92019156395111</v>
      </c>
      <c r="AA33" s="85">
        <f t="shared" si="2"/>
        <v>118.92019156395112</v>
      </c>
      <c r="AB33" s="86">
        <f t="shared" si="2"/>
        <v>136.92019156395111</v>
      </c>
      <c r="AC33" s="86">
        <f t="shared" si="12"/>
        <v>48.288995313306181</v>
      </c>
      <c r="AD33" s="86">
        <f t="shared" si="12"/>
        <v>58.288995313306174</v>
      </c>
      <c r="AE33" s="62" t="str">
        <f>IF(Q33&gt;80,"High temp. Please contact your distributor for advice",IF(H33&gt;150,"Too high charging pressure!",""))</f>
        <v/>
      </c>
      <c r="AF33" s="62" t="str">
        <f t="shared" si="13"/>
        <v/>
      </c>
      <c r="AG33" s="50">
        <v>1</v>
      </c>
      <c r="AH33" s="87" t="s">
        <v>216</v>
      </c>
      <c r="AN33" s="88">
        <v>27</v>
      </c>
      <c r="AO33" s="88">
        <v>37</v>
      </c>
    </row>
    <row r="34" spans="1:41" ht="15" customHeight="1" x14ac:dyDescent="0.25">
      <c r="A34" s="38" t="s">
        <v>218</v>
      </c>
      <c r="C34" s="96">
        <v>1500</v>
      </c>
      <c r="D34" s="71" t="s">
        <v>218</v>
      </c>
      <c r="E34" s="64"/>
      <c r="F34" s="72">
        <f>Calculator!$M$2</f>
        <v>10</v>
      </c>
      <c r="G34" s="73">
        <f>Fjäderkurva!$D$14</f>
        <v>10</v>
      </c>
      <c r="H34" s="73">
        <f>Fjäderkurva!$D$19</f>
        <v>150</v>
      </c>
      <c r="I34" s="73">
        <f>Calculator!$X$19</f>
        <v>20</v>
      </c>
      <c r="J34" s="74">
        <f>Calculator!$X$20</f>
        <v>20</v>
      </c>
      <c r="K34" s="97">
        <v>77</v>
      </c>
      <c r="L34" s="98">
        <f t="shared" si="5"/>
        <v>25</v>
      </c>
      <c r="M34" s="99">
        <f>-0.00000035*F34^2+0.000016*F34+0.0097</f>
        <v>9.8250000000000004E-3</v>
      </c>
      <c r="N34" s="100">
        <f>0.65*(H34/150)^2+0.06*(H34/150)+0.29</f>
        <v>1</v>
      </c>
      <c r="O34" s="100">
        <f>0.0699*EXP(2.6*(G34/F34))+0.059</f>
        <v>1.0001152886466183</v>
      </c>
      <c r="P34" s="80">
        <f>F34*I34*M34*N34*O34+J34</f>
        <v>21.965226542190607</v>
      </c>
      <c r="Q34" s="80">
        <f>P34+10</f>
        <v>31.965226542190607</v>
      </c>
      <c r="R34" s="81">
        <f t="shared" si="19"/>
        <v>21.965226542190607</v>
      </c>
      <c r="S34" s="81">
        <f>Q34</f>
        <v>31.965226542190607</v>
      </c>
      <c r="T34" s="82">
        <f t="shared" si="7"/>
        <v>71.537407775943095</v>
      </c>
      <c r="U34" s="82">
        <f t="shared" si="7"/>
        <v>89.537407775943095</v>
      </c>
      <c r="V34" s="83">
        <f t="shared" si="15"/>
        <v>25</v>
      </c>
      <c r="W34" s="84">
        <f t="shared" si="16"/>
        <v>46.965226542190607</v>
      </c>
      <c r="X34" s="84">
        <f t="shared" si="10"/>
        <v>56.965226542190607</v>
      </c>
      <c r="Y34" s="84">
        <f t="shared" si="17"/>
        <v>116.53740777594309</v>
      </c>
      <c r="Z34" s="84">
        <f t="shared" si="17"/>
        <v>134.53740777594311</v>
      </c>
      <c r="AA34" s="85">
        <f t="shared" si="2"/>
        <v>116.53740777594309</v>
      </c>
      <c r="AB34" s="86">
        <f t="shared" si="2"/>
        <v>134.53740777594311</v>
      </c>
      <c r="AC34" s="86">
        <f t="shared" si="12"/>
        <v>46.965226542190614</v>
      </c>
      <c r="AD34" s="86">
        <f t="shared" si="12"/>
        <v>56.965226542190621</v>
      </c>
      <c r="AE34" s="62" t="str">
        <f>IF(Q34&gt;80,"High temp. Please contact your distributor for advice",IF(H34&gt;150,"Too high charging pressure!",""))</f>
        <v/>
      </c>
      <c r="AF34" s="62" t="str">
        <f t="shared" si="13"/>
        <v/>
      </c>
      <c r="AG34" s="50">
        <v>1</v>
      </c>
      <c r="AH34" s="87" t="s">
        <v>219</v>
      </c>
      <c r="AN34" s="88">
        <v>31</v>
      </c>
      <c r="AO34" s="88">
        <v>41</v>
      </c>
    </row>
    <row r="35" spans="1:41" ht="15" customHeight="1" x14ac:dyDescent="0.25">
      <c r="D35" s="89"/>
      <c r="L35" s="90"/>
      <c r="M35" s="58"/>
      <c r="N35" s="58"/>
      <c r="O35" s="58"/>
      <c r="T35" s="91"/>
      <c r="U35" s="91"/>
      <c r="V35" s="92"/>
      <c r="W35" s="92"/>
      <c r="X35" s="92"/>
      <c r="Y35" s="92"/>
      <c r="Z35" s="92"/>
      <c r="AC35" s="93"/>
      <c r="AD35" s="93"/>
      <c r="AF35" s="62"/>
      <c r="AG35" s="50"/>
      <c r="AH35" s="51"/>
      <c r="AN35" s="88"/>
      <c r="AO35" s="88"/>
    </row>
    <row r="36" spans="1:41" ht="15" customHeight="1" x14ac:dyDescent="0.25">
      <c r="D36" s="89"/>
      <c r="L36" s="90"/>
      <c r="M36" s="58"/>
      <c r="N36" s="58"/>
      <c r="O36" s="58"/>
      <c r="T36" s="91"/>
      <c r="U36" s="91"/>
      <c r="V36" s="92"/>
      <c r="W36" s="92"/>
      <c r="X36" s="92"/>
      <c r="Y36" s="92"/>
      <c r="Z36" s="92"/>
      <c r="AC36" s="93"/>
      <c r="AD36" s="93"/>
      <c r="AF36" s="62"/>
      <c r="AG36" s="50"/>
      <c r="AH36" s="51"/>
      <c r="AN36" s="88"/>
      <c r="AO36" s="88"/>
    </row>
    <row r="37" spans="1:41" ht="15" customHeight="1" x14ac:dyDescent="0.25">
      <c r="C37" s="63" t="s">
        <v>220</v>
      </c>
      <c r="D37" s="54" t="s">
        <v>71</v>
      </c>
      <c r="F37" s="55" t="s">
        <v>175</v>
      </c>
      <c r="G37" s="55" t="s">
        <v>176</v>
      </c>
      <c r="H37" s="55" t="s">
        <v>177</v>
      </c>
      <c r="I37" s="55" t="s">
        <v>178</v>
      </c>
      <c r="J37" s="55" t="s">
        <v>179</v>
      </c>
      <c r="K37" s="56" t="s">
        <v>179</v>
      </c>
      <c r="L37" s="57" t="s">
        <v>179</v>
      </c>
      <c r="M37" s="58"/>
      <c r="N37" s="58"/>
      <c r="O37" s="58"/>
      <c r="P37" s="59" t="s">
        <v>180</v>
      </c>
      <c r="R37" s="59" t="str">
        <f t="shared" ref="R37:S44" si="20">P37</f>
        <v>Estimated running</v>
      </c>
      <c r="V37" s="60" t="s">
        <v>181</v>
      </c>
      <c r="Y37" s="61"/>
      <c r="AB37" s="33" t="str">
        <f>P37</f>
        <v>Estimated running</v>
      </c>
      <c r="AC37" s="93"/>
      <c r="AD37" s="93"/>
      <c r="AF37" s="62"/>
      <c r="AG37" s="50">
        <v>2</v>
      </c>
      <c r="AH37" s="87"/>
      <c r="AN37" s="88"/>
      <c r="AO37" s="88"/>
    </row>
    <row r="38" spans="1:41" ht="15" customHeight="1" x14ac:dyDescent="0.25">
      <c r="D38" s="54"/>
      <c r="E38" s="64"/>
      <c r="F38" s="55"/>
      <c r="G38" s="55" t="s">
        <v>182</v>
      </c>
      <c r="H38" s="55"/>
      <c r="I38" s="55"/>
      <c r="J38" s="55" t="s">
        <v>183</v>
      </c>
      <c r="K38" s="56" t="s">
        <v>183</v>
      </c>
      <c r="L38" s="57" t="s">
        <v>183</v>
      </c>
      <c r="M38" s="65" t="s">
        <v>186</v>
      </c>
      <c r="N38" s="65" t="s">
        <v>210</v>
      </c>
      <c r="O38" s="65" t="s">
        <v>211</v>
      </c>
      <c r="P38" s="59" t="s">
        <v>187</v>
      </c>
      <c r="R38" s="59" t="str">
        <f t="shared" si="20"/>
        <v>temperature between:</v>
      </c>
      <c r="V38" s="66" t="s">
        <v>188</v>
      </c>
      <c r="Y38" s="61"/>
      <c r="AB38" s="33" t="str">
        <f>P38</f>
        <v>temperature between:</v>
      </c>
      <c r="AC38" s="93"/>
      <c r="AD38" s="93"/>
      <c r="AF38" s="62"/>
      <c r="AG38" s="50">
        <v>2</v>
      </c>
      <c r="AH38" s="87"/>
      <c r="AN38" s="88"/>
      <c r="AO38" s="88"/>
    </row>
    <row r="39" spans="1:41" ht="15" customHeight="1" x14ac:dyDescent="0.25">
      <c r="C39" s="67" t="s">
        <v>189</v>
      </c>
      <c r="D39" s="68" t="s">
        <v>189</v>
      </c>
      <c r="E39" s="69"/>
      <c r="F39" s="55"/>
      <c r="G39" s="55" t="s">
        <v>190</v>
      </c>
      <c r="H39" s="55" t="s">
        <v>191</v>
      </c>
      <c r="I39" s="55" t="s">
        <v>192</v>
      </c>
      <c r="J39" s="55" t="s">
        <v>193</v>
      </c>
      <c r="K39" s="56" t="s">
        <v>194</v>
      </c>
      <c r="L39" s="57" t="s">
        <v>193</v>
      </c>
      <c r="M39" s="65" t="s">
        <v>212</v>
      </c>
      <c r="N39" s="65" t="s">
        <v>213</v>
      </c>
      <c r="O39" s="65" t="s">
        <v>214</v>
      </c>
      <c r="P39" s="29" t="s">
        <v>193</v>
      </c>
      <c r="Q39" s="29" t="s">
        <v>193</v>
      </c>
      <c r="R39" s="29" t="str">
        <f t="shared" si="20"/>
        <v>[°C]</v>
      </c>
      <c r="S39" s="29" t="str">
        <f t="shared" si="20"/>
        <v>[°C]</v>
      </c>
      <c r="T39" s="31" t="s">
        <v>198</v>
      </c>
      <c r="U39" s="31" t="s">
        <v>199</v>
      </c>
      <c r="V39" s="66" t="s">
        <v>200</v>
      </c>
      <c r="W39" s="60" t="s">
        <v>201</v>
      </c>
      <c r="X39" s="60" t="s">
        <v>202</v>
      </c>
      <c r="Y39" s="60" t="s">
        <v>203</v>
      </c>
      <c r="Z39" s="60" t="s">
        <v>204</v>
      </c>
      <c r="AA39" s="26" t="s">
        <v>194</v>
      </c>
      <c r="AB39" s="26" t="s">
        <v>194</v>
      </c>
      <c r="AC39" s="26" t="s">
        <v>193</v>
      </c>
      <c r="AD39" s="26" t="s">
        <v>193</v>
      </c>
      <c r="AF39" s="62"/>
      <c r="AG39" s="50">
        <v>2</v>
      </c>
      <c r="AH39" s="87"/>
      <c r="AN39" s="88"/>
      <c r="AO39" s="88"/>
    </row>
    <row r="40" spans="1:41" ht="15" customHeight="1" x14ac:dyDescent="0.25">
      <c r="A40" s="38" t="str">
        <f>CONCATENATE("LCF"," ",D40)</f>
        <v>LCF 750</v>
      </c>
      <c r="C40" s="70">
        <v>750</v>
      </c>
      <c r="D40" s="54">
        <v>750</v>
      </c>
      <c r="F40" s="72">
        <f>Calculator!$M$2</f>
        <v>10</v>
      </c>
      <c r="G40" s="73">
        <f>Fjäderkurva!$D$14</f>
        <v>10</v>
      </c>
      <c r="H40" s="73">
        <f>Fjäderkurva!$D$19</f>
        <v>150</v>
      </c>
      <c r="I40" s="73">
        <f>Calculator!$X$19</f>
        <v>20</v>
      </c>
      <c r="J40" s="74">
        <f>Calculator!$X$20</f>
        <v>20</v>
      </c>
      <c r="K40" s="97">
        <v>77</v>
      </c>
      <c r="L40" s="98">
        <f t="shared" si="5"/>
        <v>25</v>
      </c>
      <c r="M40" s="101">
        <f>-0.0000002*F40^2+0.00005*F40+0.0132</f>
        <v>1.3679999999999999E-2</v>
      </c>
      <c r="N40" s="79">
        <f>0.88*(H40/150)+0.12</f>
        <v>1</v>
      </c>
      <c r="O40" s="79">
        <f>0.3551*(G40/F40)^2+0.5449*(G40/F40)+0.1</f>
        <v>1.0000000000000002</v>
      </c>
      <c r="P40" s="80">
        <f>F40*I40*M40*N40*O40+J40-2</f>
        <v>20.736000000000001</v>
      </c>
      <c r="Q40" s="80">
        <f>P40+10</f>
        <v>30.736000000000001</v>
      </c>
      <c r="R40" s="81">
        <f t="shared" si="20"/>
        <v>20.736000000000001</v>
      </c>
      <c r="S40" s="81">
        <f t="shared" si="20"/>
        <v>30.736000000000001</v>
      </c>
      <c r="T40" s="82">
        <f t="shared" si="7"/>
        <v>69.32480000000001</v>
      </c>
      <c r="U40" s="82">
        <f t="shared" si="7"/>
        <v>87.32480000000001</v>
      </c>
      <c r="V40" s="83">
        <f t="shared" si="15"/>
        <v>25</v>
      </c>
      <c r="W40" s="84">
        <f t="shared" si="16"/>
        <v>45.736000000000004</v>
      </c>
      <c r="X40" s="84">
        <f t="shared" si="10"/>
        <v>55.736000000000004</v>
      </c>
      <c r="Y40" s="84">
        <f t="shared" si="17"/>
        <v>114.32480000000001</v>
      </c>
      <c r="Z40" s="84">
        <f t="shared" si="17"/>
        <v>132.32480000000001</v>
      </c>
      <c r="AA40" s="85">
        <f t="shared" si="2"/>
        <v>114.32480000000001</v>
      </c>
      <c r="AB40" s="86">
        <f t="shared" si="2"/>
        <v>132.32480000000001</v>
      </c>
      <c r="AC40" s="86">
        <f t="shared" si="12"/>
        <v>45.736000000000011</v>
      </c>
      <c r="AD40" s="86">
        <f t="shared" si="12"/>
        <v>55.736000000000011</v>
      </c>
      <c r="AE40" s="62" t="str">
        <f>IF(Q40&gt;80,"High temp. Please contact your distributor for advice",IF(H40&gt;150,"Too high charging pressure!",""))</f>
        <v/>
      </c>
      <c r="AF40" s="62" t="str">
        <f t="shared" si="13"/>
        <v/>
      </c>
      <c r="AG40" s="50">
        <v>2</v>
      </c>
      <c r="AH40" s="87" t="s">
        <v>221</v>
      </c>
      <c r="AN40" s="88">
        <v>37</v>
      </c>
      <c r="AO40" s="88">
        <v>47</v>
      </c>
    </row>
    <row r="41" spans="1:41" ht="15" customHeight="1" x14ac:dyDescent="0.25">
      <c r="A41" s="38" t="str">
        <f t="shared" ref="A41:A44" si="21">CONCATENATE("LCF"," ",D41)</f>
        <v>LCF 1500</v>
      </c>
      <c r="C41" s="70">
        <v>1500</v>
      </c>
      <c r="D41" s="54">
        <v>1500</v>
      </c>
      <c r="F41" s="72">
        <f>Calculator!$M$2</f>
        <v>10</v>
      </c>
      <c r="G41" s="73">
        <f>Fjäderkurva!$D$14</f>
        <v>10</v>
      </c>
      <c r="H41" s="73">
        <f>Fjäderkurva!$D$19</f>
        <v>150</v>
      </c>
      <c r="I41" s="73">
        <f>Calculator!$X$19</f>
        <v>20</v>
      </c>
      <c r="J41" s="74">
        <f>Calculator!$X$20</f>
        <v>20</v>
      </c>
      <c r="K41" s="97">
        <v>77</v>
      </c>
      <c r="L41" s="98">
        <f t="shared" si="5"/>
        <v>25</v>
      </c>
      <c r="M41" s="101">
        <f>-0.00000015*F41^2+0.000027*F41+0.0145</f>
        <v>1.4755000000000001E-2</v>
      </c>
      <c r="N41" s="79">
        <f>0.88*(H41/150)+0.12</f>
        <v>1</v>
      </c>
      <c r="O41" s="79">
        <f>0.82*(G41/F41)^2+0.075*(G41/F41)+0.1</f>
        <v>0.99499999999999988</v>
      </c>
      <c r="P41" s="80">
        <f>F41*I41*M41*N41*O41+J41</f>
        <v>22.936245</v>
      </c>
      <c r="Q41" s="80">
        <f>P41+10</f>
        <v>32.936245</v>
      </c>
      <c r="R41" s="81">
        <f t="shared" si="20"/>
        <v>22.936245</v>
      </c>
      <c r="S41" s="81">
        <f t="shared" si="20"/>
        <v>32.936245</v>
      </c>
      <c r="T41" s="82">
        <f t="shared" si="7"/>
        <v>73.285240999999999</v>
      </c>
      <c r="U41" s="82">
        <f t="shared" si="7"/>
        <v>91.285240999999999</v>
      </c>
      <c r="V41" s="83">
        <f t="shared" si="15"/>
        <v>25</v>
      </c>
      <c r="W41" s="84">
        <f t="shared" si="16"/>
        <v>47.936245</v>
      </c>
      <c r="X41" s="84">
        <f t="shared" si="10"/>
        <v>57.936245</v>
      </c>
      <c r="Y41" s="84">
        <f t="shared" si="17"/>
        <v>118.285241</v>
      </c>
      <c r="Z41" s="84">
        <f t="shared" si="17"/>
        <v>136.28524099999998</v>
      </c>
      <c r="AA41" s="85">
        <f t="shared" si="2"/>
        <v>118.285241</v>
      </c>
      <c r="AB41" s="86">
        <f t="shared" si="2"/>
        <v>136.28524099999998</v>
      </c>
      <c r="AC41" s="86">
        <f t="shared" si="12"/>
        <v>47.936245</v>
      </c>
      <c r="AD41" s="86">
        <f t="shared" si="12"/>
        <v>57.936244999999992</v>
      </c>
      <c r="AE41" s="62" t="str">
        <f>IF(Q41&gt;80,"High temp. Please contact your distributor for advice",IF(H41&gt;150,"Too high charging pressure!",""))</f>
        <v/>
      </c>
      <c r="AF41" s="62" t="str">
        <f t="shared" si="13"/>
        <v/>
      </c>
      <c r="AG41" s="50">
        <v>2</v>
      </c>
      <c r="AH41" s="87" t="s">
        <v>221</v>
      </c>
      <c r="AN41" s="88">
        <v>38</v>
      </c>
      <c r="AO41" s="88">
        <v>48</v>
      </c>
    </row>
    <row r="42" spans="1:41" ht="15" customHeight="1" x14ac:dyDescent="0.25">
      <c r="A42" s="38" t="str">
        <f t="shared" si="21"/>
        <v>LCF 3000</v>
      </c>
      <c r="C42" s="70">
        <v>3000</v>
      </c>
      <c r="D42" s="54">
        <v>3000</v>
      </c>
      <c r="F42" s="72">
        <f>Calculator!$M$2</f>
        <v>10</v>
      </c>
      <c r="G42" s="73">
        <f>Fjäderkurva!$D$14</f>
        <v>10</v>
      </c>
      <c r="H42" s="73">
        <f>Fjäderkurva!$D$19</f>
        <v>150</v>
      </c>
      <c r="I42" s="73">
        <f>Calculator!$X$19</f>
        <v>20</v>
      </c>
      <c r="J42" s="74">
        <f>Calculator!$X$20</f>
        <v>20</v>
      </c>
      <c r="K42" s="97">
        <v>77</v>
      </c>
      <c r="L42" s="98">
        <f t="shared" si="5"/>
        <v>25</v>
      </c>
      <c r="M42" s="101">
        <f>0.00000005*F42^2-0.000034*F42+0.0186</f>
        <v>1.8265E-2</v>
      </c>
      <c r="N42" s="79">
        <f>0.75*(H42/150)+0.25</f>
        <v>1</v>
      </c>
      <c r="O42" s="79">
        <f>0.82*(G42/F42)^2+0.075*(G42/F42)+0.1</f>
        <v>0.99499999999999988</v>
      </c>
      <c r="P42" s="80">
        <f>F42*I42*M42*N42*O42+J42</f>
        <v>23.634734999999999</v>
      </c>
      <c r="Q42" s="80">
        <f>P42+10</f>
        <v>33.634734999999999</v>
      </c>
      <c r="R42" s="81">
        <f t="shared" si="20"/>
        <v>23.634734999999999</v>
      </c>
      <c r="S42" s="81">
        <f t="shared" si="20"/>
        <v>33.634734999999999</v>
      </c>
      <c r="T42" s="82">
        <f t="shared" si="7"/>
        <v>74.542523000000003</v>
      </c>
      <c r="U42" s="82">
        <f t="shared" si="7"/>
        <v>92.542523000000003</v>
      </c>
      <c r="V42" s="83">
        <f t="shared" si="15"/>
        <v>25</v>
      </c>
      <c r="W42" s="84">
        <f t="shared" si="16"/>
        <v>48.634734999999999</v>
      </c>
      <c r="X42" s="84">
        <f t="shared" si="10"/>
        <v>58.634734999999999</v>
      </c>
      <c r="Y42" s="84">
        <f t="shared" si="17"/>
        <v>119.542523</v>
      </c>
      <c r="Z42" s="84">
        <f t="shared" si="17"/>
        <v>137.54252300000002</v>
      </c>
      <c r="AA42" s="85">
        <f t="shared" si="2"/>
        <v>119.542523</v>
      </c>
      <c r="AB42" s="86">
        <f t="shared" si="2"/>
        <v>137.54252300000002</v>
      </c>
      <c r="AC42" s="86">
        <f t="shared" si="12"/>
        <v>48.634735000000006</v>
      </c>
      <c r="AD42" s="86">
        <f t="shared" si="12"/>
        <v>58.634735000000013</v>
      </c>
      <c r="AE42" s="62" t="str">
        <f>IF(Q42&gt;80,"High temp. Please contact your distributor for advice",IF(H42&gt;150,"Too high charging pressure!",""))</f>
        <v/>
      </c>
      <c r="AF42" s="62" t="str">
        <f t="shared" si="13"/>
        <v/>
      </c>
      <c r="AG42" s="50">
        <v>2</v>
      </c>
      <c r="AH42" s="87" t="s">
        <v>221</v>
      </c>
      <c r="AN42" s="88">
        <v>38</v>
      </c>
      <c r="AO42" s="88">
        <v>48</v>
      </c>
    </row>
    <row r="43" spans="1:41" ht="15" customHeight="1" x14ac:dyDescent="0.25">
      <c r="A43" s="38" t="str">
        <f t="shared" si="21"/>
        <v>LCF 5000</v>
      </c>
      <c r="C43" s="70">
        <v>5000</v>
      </c>
      <c r="D43" s="54">
        <v>5000</v>
      </c>
      <c r="F43" s="72">
        <f>Calculator!$M$2</f>
        <v>10</v>
      </c>
      <c r="G43" s="73">
        <f>Fjäderkurva!$D$14</f>
        <v>10</v>
      </c>
      <c r="H43" s="73">
        <f>Fjäderkurva!$D$19</f>
        <v>150</v>
      </c>
      <c r="I43" s="73">
        <f>Calculator!$X$19</f>
        <v>20</v>
      </c>
      <c r="J43" s="74">
        <f>Calculator!$X$20</f>
        <v>20</v>
      </c>
      <c r="K43" s="97">
        <v>77</v>
      </c>
      <c r="L43" s="98">
        <f t="shared" si="5"/>
        <v>25</v>
      </c>
      <c r="M43" s="101">
        <f>-0.000003*F43+0.0155</f>
        <v>1.5469999999999999E-2</v>
      </c>
      <c r="N43" s="79">
        <f>0.89*(H43/150)+0.11</f>
        <v>1</v>
      </c>
      <c r="O43" s="79">
        <f>0.82*(G43/F43)^2+0.075*(G43/F43)+0.1</f>
        <v>0.99499999999999988</v>
      </c>
      <c r="P43" s="80">
        <f>F43*I43*M43*N43*O43+J43</f>
        <v>23.078530000000001</v>
      </c>
      <c r="Q43" s="80">
        <f>P43+10</f>
        <v>33.078530000000001</v>
      </c>
      <c r="R43" s="81">
        <f t="shared" si="20"/>
        <v>23.078530000000001</v>
      </c>
      <c r="S43" s="81">
        <f t="shared" si="20"/>
        <v>33.078530000000001</v>
      </c>
      <c r="T43" s="82">
        <f t="shared" si="7"/>
        <v>73.541354000000013</v>
      </c>
      <c r="U43" s="82">
        <f t="shared" si="7"/>
        <v>91.541354000000013</v>
      </c>
      <c r="V43" s="83">
        <f t="shared" si="15"/>
        <v>25</v>
      </c>
      <c r="W43" s="84">
        <f t="shared" si="16"/>
        <v>48.078530000000001</v>
      </c>
      <c r="X43" s="84">
        <f t="shared" si="10"/>
        <v>58.078530000000001</v>
      </c>
      <c r="Y43" s="84">
        <f t="shared" si="17"/>
        <v>118.541354</v>
      </c>
      <c r="Z43" s="84">
        <f t="shared" si="17"/>
        <v>136.54135400000001</v>
      </c>
      <c r="AA43" s="85">
        <f t="shared" si="2"/>
        <v>118.541354</v>
      </c>
      <c r="AB43" s="86">
        <f t="shared" si="2"/>
        <v>136.54135400000001</v>
      </c>
      <c r="AC43" s="86">
        <f t="shared" si="12"/>
        <v>48.078530000000001</v>
      </c>
      <c r="AD43" s="86">
        <f t="shared" si="12"/>
        <v>58.078530000000008</v>
      </c>
      <c r="AE43" s="62" t="str">
        <f>IF(Q43&gt;80,"High temp. Please contact your distributor for advice",IF(H43&gt;150,"Too high charging pressure!",""))</f>
        <v/>
      </c>
      <c r="AF43" s="62" t="str">
        <f t="shared" si="13"/>
        <v/>
      </c>
      <c r="AG43" s="50">
        <v>2</v>
      </c>
      <c r="AH43" s="87" t="s">
        <v>221</v>
      </c>
      <c r="AN43" s="88">
        <v>38</v>
      </c>
      <c r="AO43" s="88">
        <v>48</v>
      </c>
    </row>
    <row r="44" spans="1:41" ht="15" customHeight="1" x14ac:dyDescent="0.25">
      <c r="A44" s="38" t="str">
        <f t="shared" si="21"/>
        <v>LCF 7500</v>
      </c>
      <c r="C44" s="70">
        <v>7500</v>
      </c>
      <c r="D44" s="71">
        <v>7500</v>
      </c>
      <c r="F44" s="72">
        <f>Calculator!$M$2</f>
        <v>10</v>
      </c>
      <c r="G44" s="73">
        <f>Fjäderkurva!$D$14</f>
        <v>10</v>
      </c>
      <c r="H44" s="73">
        <f>Fjäderkurva!$D$19</f>
        <v>150</v>
      </c>
      <c r="I44" s="73">
        <f>Calculator!$X$19</f>
        <v>20</v>
      </c>
      <c r="J44" s="74">
        <f>Calculator!$X$20</f>
        <v>20</v>
      </c>
      <c r="K44" s="97">
        <v>77</v>
      </c>
      <c r="L44" s="98">
        <f t="shared" si="5"/>
        <v>25</v>
      </c>
      <c r="M44" s="101">
        <f>-0.000018*F44+0.025</f>
        <v>2.4820000000000002E-2</v>
      </c>
      <c r="N44" s="79">
        <f>0.85*(H44/150)+0.15</f>
        <v>1</v>
      </c>
      <c r="O44" s="79">
        <f>0.82*(G44/F44)^2+0.075*(G44/F44)+0.1</f>
        <v>0.99499999999999988</v>
      </c>
      <c r="P44" s="80">
        <f>F44*I44*M44*N44*O44+J44</f>
        <v>24.93918</v>
      </c>
      <c r="Q44" s="80">
        <f>P44+10</f>
        <v>34.93918</v>
      </c>
      <c r="R44" s="81">
        <f t="shared" si="20"/>
        <v>24.93918</v>
      </c>
      <c r="S44" s="81">
        <f t="shared" si="20"/>
        <v>34.93918</v>
      </c>
      <c r="T44" s="82">
        <f t="shared" si="7"/>
        <v>76.890523999999999</v>
      </c>
      <c r="U44" s="82">
        <f t="shared" si="7"/>
        <v>94.890523999999999</v>
      </c>
      <c r="V44" s="83">
        <f t="shared" si="15"/>
        <v>25</v>
      </c>
      <c r="W44" s="84">
        <f t="shared" si="16"/>
        <v>49.93918</v>
      </c>
      <c r="X44" s="84">
        <f t="shared" si="10"/>
        <v>59.93918</v>
      </c>
      <c r="Y44" s="84">
        <f t="shared" si="17"/>
        <v>121.890524</v>
      </c>
      <c r="Z44" s="84">
        <f t="shared" si="17"/>
        <v>139.890524</v>
      </c>
      <c r="AA44" s="85">
        <f t="shared" si="2"/>
        <v>121.890524</v>
      </c>
      <c r="AB44" s="86">
        <f t="shared" si="2"/>
        <v>139.890524</v>
      </c>
      <c r="AC44" s="86">
        <f t="shared" si="12"/>
        <v>49.93918</v>
      </c>
      <c r="AD44" s="86">
        <f t="shared" si="12"/>
        <v>59.93918</v>
      </c>
      <c r="AE44" s="62" t="str">
        <f>IF(Q44&gt;80,"High temp. Please contact your distributor for advice",IF(H44&gt;150,"Too high charging pressure!",""))</f>
        <v/>
      </c>
      <c r="AF44" s="62" t="str">
        <f t="shared" si="13"/>
        <v/>
      </c>
      <c r="AG44" s="50">
        <v>2</v>
      </c>
      <c r="AH44" s="87" t="s">
        <v>221</v>
      </c>
      <c r="AN44" s="88">
        <v>44</v>
      </c>
      <c r="AO44" s="88">
        <v>54</v>
      </c>
    </row>
    <row r="45" spans="1:41" ht="15" customHeight="1" x14ac:dyDescent="0.25">
      <c r="D45" s="89"/>
      <c r="L45" s="90"/>
      <c r="M45" s="58"/>
      <c r="N45" s="58"/>
      <c r="O45" s="58"/>
      <c r="T45" s="91"/>
      <c r="U45" s="91"/>
      <c r="V45" s="92"/>
      <c r="W45" s="92"/>
      <c r="X45" s="92"/>
      <c r="Y45" s="92"/>
      <c r="Z45" s="92"/>
      <c r="AC45" s="93"/>
      <c r="AD45" s="93"/>
      <c r="AF45" s="62"/>
      <c r="AG45" s="50"/>
      <c r="AH45" s="51"/>
      <c r="AN45" s="88"/>
      <c r="AO45" s="88"/>
    </row>
    <row r="46" spans="1:41" ht="15" customHeight="1" x14ac:dyDescent="0.25">
      <c r="D46" s="89"/>
      <c r="L46" s="90"/>
      <c r="M46" s="58"/>
      <c r="N46" s="58"/>
      <c r="O46" s="58"/>
      <c r="T46" s="91"/>
      <c r="U46" s="91"/>
      <c r="V46" s="92"/>
      <c r="W46" s="92"/>
      <c r="X46" s="92"/>
      <c r="Y46" s="92"/>
      <c r="Z46" s="92"/>
      <c r="AC46" s="93"/>
      <c r="AD46" s="93"/>
      <c r="AF46" s="62"/>
      <c r="AG46" s="50"/>
      <c r="AH46" s="51"/>
      <c r="AN46" s="88"/>
      <c r="AO46" s="88"/>
    </row>
    <row r="47" spans="1:41" ht="15" customHeight="1" x14ac:dyDescent="0.25">
      <c r="C47" s="63" t="s">
        <v>222</v>
      </c>
      <c r="D47" s="54" t="s">
        <v>62</v>
      </c>
      <c r="F47" s="55" t="s">
        <v>175</v>
      </c>
      <c r="G47" s="55" t="s">
        <v>176</v>
      </c>
      <c r="H47" s="55" t="s">
        <v>177</v>
      </c>
      <c r="I47" s="55" t="s">
        <v>178</v>
      </c>
      <c r="J47" s="55" t="s">
        <v>179</v>
      </c>
      <c r="K47" s="56" t="s">
        <v>179</v>
      </c>
      <c r="L47" s="57" t="s">
        <v>179</v>
      </c>
      <c r="M47" s="58"/>
      <c r="N47" s="58"/>
      <c r="O47" s="102"/>
      <c r="P47" s="59" t="s">
        <v>180</v>
      </c>
      <c r="R47" s="103" t="str">
        <f>P47</f>
        <v>Estimated running</v>
      </c>
      <c r="V47" s="60" t="s">
        <v>181</v>
      </c>
      <c r="Y47" s="61"/>
      <c r="AB47" s="33" t="str">
        <f>P47</f>
        <v>Estimated running</v>
      </c>
      <c r="AC47" s="93"/>
      <c r="AD47" s="93"/>
      <c r="AF47" s="62"/>
      <c r="AG47" s="50">
        <v>2</v>
      </c>
      <c r="AH47" s="87"/>
      <c r="AN47" s="88"/>
      <c r="AO47" s="88"/>
    </row>
    <row r="48" spans="1:41" ht="15" customHeight="1" x14ac:dyDescent="0.25">
      <c r="D48" s="54"/>
      <c r="E48" s="64"/>
      <c r="F48" s="55"/>
      <c r="G48" s="55" t="s">
        <v>182</v>
      </c>
      <c r="H48" s="55"/>
      <c r="I48" s="55"/>
      <c r="J48" s="55" t="s">
        <v>183</v>
      </c>
      <c r="K48" s="56" t="s">
        <v>183</v>
      </c>
      <c r="L48" s="57" t="s">
        <v>183</v>
      </c>
      <c r="M48" s="58"/>
      <c r="N48" s="65" t="s">
        <v>223</v>
      </c>
      <c r="O48" s="58"/>
      <c r="P48" s="59" t="s">
        <v>187</v>
      </c>
      <c r="R48" s="103" t="str">
        <f>P48</f>
        <v>temperature between:</v>
      </c>
      <c r="V48" s="66" t="s">
        <v>188</v>
      </c>
      <c r="Y48" s="61"/>
      <c r="AB48" s="33" t="str">
        <f>P48</f>
        <v>temperature between:</v>
      </c>
      <c r="AC48" s="93"/>
      <c r="AD48" s="93"/>
      <c r="AF48" s="62"/>
      <c r="AG48" s="50">
        <v>2</v>
      </c>
      <c r="AH48" s="87"/>
      <c r="AN48" s="88"/>
      <c r="AO48" s="88"/>
    </row>
    <row r="49" spans="1:41" ht="15" customHeight="1" x14ac:dyDescent="0.25">
      <c r="C49" s="67" t="s">
        <v>189</v>
      </c>
      <c r="D49" s="68" t="s">
        <v>189</v>
      </c>
      <c r="E49" s="69"/>
      <c r="F49" s="55"/>
      <c r="G49" s="55" t="s">
        <v>190</v>
      </c>
      <c r="H49" s="55" t="s">
        <v>191</v>
      </c>
      <c r="I49" s="55" t="s">
        <v>192</v>
      </c>
      <c r="J49" s="55" t="s">
        <v>193</v>
      </c>
      <c r="K49" s="56" t="s">
        <v>194</v>
      </c>
      <c r="L49" s="57" t="s">
        <v>193</v>
      </c>
      <c r="M49" s="65" t="s">
        <v>224</v>
      </c>
      <c r="N49" s="65" t="s">
        <v>225</v>
      </c>
      <c r="O49" s="65" t="s">
        <v>226</v>
      </c>
      <c r="P49" s="29" t="s">
        <v>193</v>
      </c>
      <c r="Q49" s="29" t="s">
        <v>193</v>
      </c>
      <c r="R49" s="29" t="str">
        <f>P49</f>
        <v>[°C]</v>
      </c>
      <c r="S49" s="29" t="str">
        <f>Q49</f>
        <v>[°C]</v>
      </c>
      <c r="T49" s="31" t="s">
        <v>198</v>
      </c>
      <c r="U49" s="31" t="s">
        <v>199</v>
      </c>
      <c r="V49" s="66" t="s">
        <v>200</v>
      </c>
      <c r="W49" s="60" t="s">
        <v>201</v>
      </c>
      <c r="X49" s="60" t="s">
        <v>202</v>
      </c>
      <c r="Y49" s="60" t="s">
        <v>203</v>
      </c>
      <c r="Z49" s="60" t="s">
        <v>204</v>
      </c>
      <c r="AA49" s="26" t="s">
        <v>194</v>
      </c>
      <c r="AB49" s="26" t="s">
        <v>194</v>
      </c>
      <c r="AC49" s="26" t="s">
        <v>193</v>
      </c>
      <c r="AD49" s="26" t="s">
        <v>193</v>
      </c>
      <c r="AF49" s="62"/>
      <c r="AG49" s="50">
        <v>2</v>
      </c>
      <c r="AH49" s="87"/>
      <c r="AN49" s="88"/>
      <c r="AO49" s="88"/>
    </row>
    <row r="50" spans="1:41" ht="15" customHeight="1" x14ac:dyDescent="0.25">
      <c r="A50" s="38" t="s">
        <v>62</v>
      </c>
      <c r="C50" s="96" t="s">
        <v>222</v>
      </c>
      <c r="D50" s="71" t="s">
        <v>62</v>
      </c>
      <c r="E50" s="69"/>
      <c r="F50" s="72">
        <f>Calculator!$M$2</f>
        <v>10</v>
      </c>
      <c r="G50" s="73">
        <f>Fjäderkurva!$D$14</f>
        <v>10</v>
      </c>
      <c r="H50" s="73">
        <f>Fjäderkurva!$D$19</f>
        <v>150</v>
      </c>
      <c r="I50" s="73">
        <f>Calculator!$X$19</f>
        <v>20</v>
      </c>
      <c r="J50" s="74">
        <f>Calculator!$X$20</f>
        <v>20</v>
      </c>
      <c r="K50" s="97">
        <v>77</v>
      </c>
      <c r="L50" s="98">
        <f t="shared" si="5"/>
        <v>25</v>
      </c>
      <c r="M50" s="104">
        <f>-0.000620370414004661*F50^2+0.268331957994321*F50+0.785664791280596</f>
        <v>3.4069473298233399</v>
      </c>
      <c r="N50" s="105">
        <f>(-0.000399199129692736*H50^2+0.164059801283639*H50+1.91164754348779)*(0.00709866427117971*I50^2-0.480884167541125*I50+16.1629135875712)</f>
        <v>164.59477852243239</v>
      </c>
      <c r="O50" s="105">
        <f>0.00174145400538405*(100*G50/F50)^2-0.0253949962177752*(100*G50/F50)+6.92530631030808</f>
        <v>21.800346742371062</v>
      </c>
      <c r="P50" s="80">
        <f>((M50*N50*O50)*0.000200885124608251+3.84189422736609)+J50</f>
        <v>26.297692296049583</v>
      </c>
      <c r="Q50" s="80">
        <f>P50+10</f>
        <v>36.297692296049583</v>
      </c>
      <c r="R50" s="81">
        <f>P50</f>
        <v>26.297692296049583</v>
      </c>
      <c r="S50" s="81">
        <f>Q50</f>
        <v>36.297692296049583</v>
      </c>
      <c r="T50" s="82">
        <f t="shared" si="7"/>
        <v>79.335846132889259</v>
      </c>
      <c r="U50" s="82">
        <f t="shared" si="7"/>
        <v>97.335846132889245</v>
      </c>
      <c r="V50" s="83">
        <f t="shared" si="15"/>
        <v>25</v>
      </c>
      <c r="W50" s="84">
        <f t="shared" si="16"/>
        <v>51.297692296049583</v>
      </c>
      <c r="X50" s="84">
        <f t="shared" si="10"/>
        <v>61.297692296049583</v>
      </c>
      <c r="Y50" s="84">
        <f t="shared" si="17"/>
        <v>124.33584613288924</v>
      </c>
      <c r="Z50" s="84">
        <f t="shared" si="17"/>
        <v>142.33584613288923</v>
      </c>
      <c r="AA50" s="85">
        <f t="shared" si="2"/>
        <v>124.33584613288924</v>
      </c>
      <c r="AB50" s="86">
        <f t="shared" si="2"/>
        <v>142.33584613288923</v>
      </c>
      <c r="AC50" s="86">
        <f t="shared" si="12"/>
        <v>51.297692296049583</v>
      </c>
      <c r="AD50" s="86">
        <f t="shared" si="12"/>
        <v>61.297692296049576</v>
      </c>
      <c r="AE50" s="34" t="str">
        <f>IF(Q50&gt;80,"High temp. Please contact your distributor for advice",IF(H50&gt;180,"Too high charging pressure!",""))</f>
        <v/>
      </c>
      <c r="AF50" s="62" t="str">
        <f t="shared" si="13"/>
        <v/>
      </c>
      <c r="AG50" s="50">
        <v>2</v>
      </c>
      <c r="AH50" s="87" t="s">
        <v>227</v>
      </c>
      <c r="AN50" s="88">
        <v>56</v>
      </c>
      <c r="AO50" s="88">
        <v>66</v>
      </c>
    </row>
    <row r="51" spans="1:41" ht="15" customHeight="1" x14ac:dyDescent="0.25">
      <c r="D51" s="89"/>
      <c r="L51" s="90"/>
      <c r="M51" s="58"/>
      <c r="N51" s="58"/>
      <c r="O51" s="58"/>
      <c r="T51" s="91"/>
      <c r="U51" s="91"/>
      <c r="V51" s="92"/>
      <c r="W51" s="92"/>
      <c r="X51" s="92"/>
      <c r="Y51" s="92"/>
      <c r="Z51" s="92"/>
      <c r="AC51" s="93"/>
      <c r="AD51" s="93"/>
      <c r="AF51" s="62"/>
      <c r="AG51" s="50"/>
      <c r="AH51" s="51"/>
      <c r="AN51" s="88"/>
      <c r="AO51" s="88"/>
    </row>
    <row r="52" spans="1:41" ht="15" customHeight="1" x14ac:dyDescent="0.25">
      <c r="D52" s="89"/>
      <c r="L52" s="90"/>
      <c r="M52" s="58"/>
      <c r="N52" s="58"/>
      <c r="O52" s="58"/>
      <c r="T52" s="91"/>
      <c r="U52" s="91"/>
      <c r="V52" s="92"/>
      <c r="W52" s="92"/>
      <c r="X52" s="92"/>
      <c r="Y52" s="92"/>
      <c r="Z52" s="92"/>
      <c r="AC52" s="93"/>
      <c r="AD52" s="93"/>
      <c r="AF52" s="62"/>
      <c r="AG52" s="50"/>
      <c r="AH52" s="51"/>
      <c r="AN52" s="88"/>
      <c r="AO52" s="88"/>
    </row>
    <row r="53" spans="1:41" ht="15" customHeight="1" x14ac:dyDescent="0.25">
      <c r="C53" s="63" t="s">
        <v>228</v>
      </c>
      <c r="D53" s="54" t="s">
        <v>63</v>
      </c>
      <c r="F53" s="55" t="s">
        <v>175</v>
      </c>
      <c r="G53" s="55" t="s">
        <v>176</v>
      </c>
      <c r="H53" s="55" t="s">
        <v>177</v>
      </c>
      <c r="I53" s="55" t="s">
        <v>178</v>
      </c>
      <c r="J53" s="55" t="s">
        <v>179</v>
      </c>
      <c r="K53" s="56" t="s">
        <v>179</v>
      </c>
      <c r="L53" s="57" t="s">
        <v>179</v>
      </c>
      <c r="M53" s="58"/>
      <c r="N53" s="58"/>
      <c r="O53" s="102"/>
      <c r="P53" s="59" t="s">
        <v>180</v>
      </c>
      <c r="R53" s="59" t="str">
        <f>P53</f>
        <v>Estimated running</v>
      </c>
      <c r="V53" s="60" t="s">
        <v>181</v>
      </c>
      <c r="Y53" s="61"/>
      <c r="AB53" s="33" t="str">
        <f>P53</f>
        <v>Estimated running</v>
      </c>
      <c r="AC53" s="93"/>
      <c r="AD53" s="93"/>
      <c r="AF53" s="62"/>
      <c r="AG53" s="50">
        <v>2</v>
      </c>
      <c r="AH53" s="87"/>
      <c r="AN53" s="88"/>
      <c r="AO53" s="88"/>
    </row>
    <row r="54" spans="1:41" ht="15" customHeight="1" x14ac:dyDescent="0.25">
      <c r="D54" s="54"/>
      <c r="E54" s="64"/>
      <c r="F54" s="55"/>
      <c r="G54" s="55" t="s">
        <v>182</v>
      </c>
      <c r="H54" s="55"/>
      <c r="I54" s="55"/>
      <c r="J54" s="55" t="s">
        <v>183</v>
      </c>
      <c r="K54" s="56" t="s">
        <v>183</v>
      </c>
      <c r="L54" s="57" t="s">
        <v>183</v>
      </c>
      <c r="M54" s="58"/>
      <c r="N54" s="65" t="s">
        <v>223</v>
      </c>
      <c r="O54" s="58"/>
      <c r="P54" s="59" t="s">
        <v>187</v>
      </c>
      <c r="R54" s="59" t="str">
        <f>P54</f>
        <v>temperature between:</v>
      </c>
      <c r="V54" s="66" t="s">
        <v>188</v>
      </c>
      <c r="Y54" s="61"/>
      <c r="AB54" s="33" t="str">
        <f>P54</f>
        <v>temperature between:</v>
      </c>
      <c r="AC54" s="93"/>
      <c r="AD54" s="93"/>
      <c r="AF54" s="62"/>
      <c r="AG54" s="50">
        <v>2</v>
      </c>
      <c r="AH54" s="87"/>
      <c r="AN54" s="88"/>
      <c r="AO54" s="88"/>
    </row>
    <row r="55" spans="1:41" ht="15" customHeight="1" x14ac:dyDescent="0.25">
      <c r="C55" s="67" t="s">
        <v>189</v>
      </c>
      <c r="D55" s="68" t="s">
        <v>189</v>
      </c>
      <c r="E55" s="69"/>
      <c r="F55" s="55"/>
      <c r="G55" s="55" t="s">
        <v>190</v>
      </c>
      <c r="H55" s="55" t="s">
        <v>191</v>
      </c>
      <c r="I55" s="55" t="s">
        <v>192</v>
      </c>
      <c r="J55" s="55" t="s">
        <v>193</v>
      </c>
      <c r="K55" s="56" t="s">
        <v>194</v>
      </c>
      <c r="L55" s="57" t="s">
        <v>193</v>
      </c>
      <c r="M55" s="65" t="s">
        <v>224</v>
      </c>
      <c r="N55" s="65" t="s">
        <v>225</v>
      </c>
      <c r="O55" s="65" t="s">
        <v>226</v>
      </c>
      <c r="P55" s="55" t="s">
        <v>193</v>
      </c>
      <c r="Q55" s="55" t="s">
        <v>193</v>
      </c>
      <c r="R55" s="55" t="str">
        <f>P55</f>
        <v>[°C]</v>
      </c>
      <c r="S55" s="55" t="str">
        <f>Q55</f>
        <v>[°C]</v>
      </c>
      <c r="T55" s="31" t="s">
        <v>198</v>
      </c>
      <c r="U55" s="31" t="s">
        <v>199</v>
      </c>
      <c r="V55" s="66" t="s">
        <v>200</v>
      </c>
      <c r="W55" s="60" t="s">
        <v>201</v>
      </c>
      <c r="X55" s="60" t="s">
        <v>202</v>
      </c>
      <c r="Y55" s="60" t="s">
        <v>203</v>
      </c>
      <c r="Z55" s="60" t="s">
        <v>204</v>
      </c>
      <c r="AA55" s="26" t="s">
        <v>194</v>
      </c>
      <c r="AB55" s="26" t="s">
        <v>194</v>
      </c>
      <c r="AC55" s="26" t="s">
        <v>193</v>
      </c>
      <c r="AD55" s="26" t="s">
        <v>193</v>
      </c>
      <c r="AF55" s="62"/>
      <c r="AG55" s="50">
        <v>2</v>
      </c>
      <c r="AH55" s="87"/>
      <c r="AN55" s="88"/>
      <c r="AO55" s="88"/>
    </row>
    <row r="56" spans="1:41" ht="15" customHeight="1" x14ac:dyDescent="0.25">
      <c r="A56" s="38" t="s">
        <v>63</v>
      </c>
      <c r="C56" s="96" t="s">
        <v>228</v>
      </c>
      <c r="D56" s="71" t="s">
        <v>63</v>
      </c>
      <c r="E56" s="69"/>
      <c r="F56" s="72">
        <f>Calculator!$M$2</f>
        <v>10</v>
      </c>
      <c r="G56" s="73">
        <f>Fjäderkurva!$D$14</f>
        <v>10</v>
      </c>
      <c r="H56" s="73">
        <f>Fjäderkurva!$D$19</f>
        <v>150</v>
      </c>
      <c r="I56" s="73">
        <f>Calculator!$X$19</f>
        <v>20</v>
      </c>
      <c r="J56" s="74">
        <f>Calculator!$X$20</f>
        <v>20</v>
      </c>
      <c r="K56" s="97">
        <v>77</v>
      </c>
      <c r="L56" s="98">
        <f t="shared" si="5"/>
        <v>25</v>
      </c>
      <c r="M56" s="106">
        <f>-0.000620370414004661*F56^2+0.268331957994321*F56+0.785664791280596</f>
        <v>3.4069473298233399</v>
      </c>
      <c r="N56" s="107">
        <f>(-0.000399199129692736*H56^2+0.164059801283639*H56+1.91164754348779)*(0.00709866427117971*I56^2-0.480884167541125*I56+16.1629135875712)</f>
        <v>164.59477852243239</v>
      </c>
      <c r="O56" s="107">
        <f>0.00174145400538405*(100*G56/F56)^2-0.0253949962177752*(100*G56/F56)+6.92530631030808</f>
        <v>21.800346742371062</v>
      </c>
      <c r="P56" s="80">
        <f>(((M56*N56*O56)*0.000200885124608251+3.84189422736609)*0.9)+J56</f>
        <v>25.667923066444622</v>
      </c>
      <c r="Q56" s="80">
        <f>P56+10</f>
        <v>35.667923066444622</v>
      </c>
      <c r="R56" s="81">
        <f>P56</f>
        <v>25.667923066444622</v>
      </c>
      <c r="S56" s="81">
        <f>Q56</f>
        <v>35.667923066444622</v>
      </c>
      <c r="T56" s="82">
        <f t="shared" si="7"/>
        <v>78.202261519600313</v>
      </c>
      <c r="U56" s="82">
        <f t="shared" si="7"/>
        <v>96.202261519600327</v>
      </c>
      <c r="V56" s="83">
        <f t="shared" si="15"/>
        <v>25</v>
      </c>
      <c r="W56" s="84">
        <f t="shared" si="16"/>
        <v>50.667923066444622</v>
      </c>
      <c r="X56" s="84">
        <f t="shared" si="10"/>
        <v>60.667923066444622</v>
      </c>
      <c r="Y56" s="84">
        <f t="shared" si="17"/>
        <v>123.20226151960033</v>
      </c>
      <c r="Z56" s="84">
        <f t="shared" si="17"/>
        <v>141.20226151960031</v>
      </c>
      <c r="AA56" s="85">
        <f t="shared" si="2"/>
        <v>123.20226151960033</v>
      </c>
      <c r="AB56" s="86">
        <f t="shared" si="2"/>
        <v>141.20226151960031</v>
      </c>
      <c r="AC56" s="86">
        <f t="shared" si="12"/>
        <v>50.667923066444629</v>
      </c>
      <c r="AD56" s="86">
        <f t="shared" si="12"/>
        <v>60.667923066444622</v>
      </c>
      <c r="AE56" s="34" t="str">
        <f>IF(Q56&gt;80,"High temp. Please contact your distributor for advice",IF(H56&gt;180,"Too high charging pressure!",""))</f>
        <v/>
      </c>
      <c r="AF56" s="62" t="str">
        <f t="shared" si="13"/>
        <v/>
      </c>
      <c r="AG56" s="50">
        <v>2</v>
      </c>
      <c r="AH56" s="87" t="s">
        <v>229</v>
      </c>
      <c r="AN56" s="88">
        <v>51</v>
      </c>
      <c r="AO56" s="88">
        <v>61</v>
      </c>
    </row>
    <row r="57" spans="1:41" ht="15" customHeight="1" x14ac:dyDescent="0.25">
      <c r="D57" s="89"/>
      <c r="L57" s="90"/>
      <c r="M57" s="58"/>
      <c r="N57" s="58"/>
      <c r="O57" s="58"/>
      <c r="T57" s="91"/>
      <c r="U57" s="91"/>
      <c r="V57" s="92"/>
      <c r="W57" s="92"/>
      <c r="X57" s="92"/>
      <c r="Y57" s="92"/>
      <c r="Z57" s="92"/>
      <c r="AC57" s="93"/>
      <c r="AD57" s="93"/>
      <c r="AF57" s="62"/>
      <c r="AG57" s="50"/>
      <c r="AH57" s="51"/>
      <c r="AN57" s="88"/>
      <c r="AO57" s="88"/>
    </row>
    <row r="58" spans="1:41" ht="15" customHeight="1" x14ac:dyDescent="0.25">
      <c r="D58" s="89"/>
      <c r="L58" s="90"/>
      <c r="M58" s="58"/>
      <c r="N58" s="58"/>
      <c r="O58" s="58"/>
      <c r="T58" s="91"/>
      <c r="U58" s="91"/>
      <c r="V58" s="92"/>
      <c r="W58" s="92"/>
      <c r="X58" s="92"/>
      <c r="Y58" s="92"/>
      <c r="Z58" s="92"/>
      <c r="AC58" s="93"/>
      <c r="AD58" s="93"/>
      <c r="AF58" s="62"/>
      <c r="AG58" s="50"/>
      <c r="AH58" s="51"/>
      <c r="AN58" s="88"/>
      <c r="AO58" s="88"/>
    </row>
    <row r="59" spans="1:41" ht="15" customHeight="1" x14ac:dyDescent="0.25">
      <c r="C59" s="63" t="s">
        <v>230</v>
      </c>
      <c r="D59" s="54" t="s">
        <v>231</v>
      </c>
      <c r="F59" s="55" t="s">
        <v>175</v>
      </c>
      <c r="G59" s="55" t="s">
        <v>176</v>
      </c>
      <c r="H59" s="55" t="s">
        <v>177</v>
      </c>
      <c r="I59" s="55" t="s">
        <v>178</v>
      </c>
      <c r="J59" s="55" t="s">
        <v>179</v>
      </c>
      <c r="K59" s="56" t="s">
        <v>179</v>
      </c>
      <c r="L59" s="57" t="s">
        <v>179</v>
      </c>
      <c r="M59" s="65"/>
      <c r="N59" s="65"/>
      <c r="O59" s="65"/>
      <c r="P59" s="59" t="s">
        <v>180</v>
      </c>
      <c r="R59" s="59" t="str">
        <f t="shared" ref="R59:S73" si="22">P59</f>
        <v>Estimated running</v>
      </c>
      <c r="V59" s="60" t="s">
        <v>181</v>
      </c>
      <c r="Y59" s="61"/>
      <c r="AB59" s="33" t="str">
        <f>P59</f>
        <v>Estimated running</v>
      </c>
      <c r="AC59" s="93"/>
      <c r="AD59" s="93"/>
      <c r="AF59" s="62"/>
      <c r="AG59" s="50">
        <v>1</v>
      </c>
      <c r="AH59" s="51"/>
      <c r="AN59" s="88"/>
      <c r="AO59" s="88"/>
    </row>
    <row r="60" spans="1:41" s="64" customFormat="1" ht="15" customHeight="1" x14ac:dyDescent="0.25">
      <c r="A60" s="38"/>
      <c r="B60" s="38"/>
      <c r="C60" s="40"/>
      <c r="D60" s="54"/>
      <c r="F60" s="55"/>
      <c r="G60" s="55" t="s">
        <v>182</v>
      </c>
      <c r="H60" s="55"/>
      <c r="I60" s="55"/>
      <c r="J60" s="55" t="s">
        <v>183</v>
      </c>
      <c r="K60" s="56" t="s">
        <v>183</v>
      </c>
      <c r="L60" s="57" t="s">
        <v>183</v>
      </c>
      <c r="M60" s="65" t="s">
        <v>186</v>
      </c>
      <c r="N60" s="65" t="s">
        <v>210</v>
      </c>
      <c r="O60" s="65" t="s">
        <v>211</v>
      </c>
      <c r="P60" s="59" t="s">
        <v>187</v>
      </c>
      <c r="Q60" s="29"/>
      <c r="R60" s="59" t="str">
        <f t="shared" si="22"/>
        <v>temperature between:</v>
      </c>
      <c r="S60" s="29"/>
      <c r="T60" s="31"/>
      <c r="U60" s="31"/>
      <c r="V60" s="66" t="s">
        <v>188</v>
      </c>
      <c r="W60" s="32"/>
      <c r="X60" s="32"/>
      <c r="Y60" s="61"/>
      <c r="Z60" s="32"/>
      <c r="AA60" s="33"/>
      <c r="AB60" s="33" t="str">
        <f>P60</f>
        <v>temperature between:</v>
      </c>
      <c r="AC60" s="93"/>
      <c r="AD60" s="93"/>
      <c r="AE60" s="34"/>
      <c r="AF60" s="62"/>
      <c r="AG60" s="94">
        <v>1</v>
      </c>
      <c r="AH60" s="95"/>
      <c r="AN60" s="88"/>
      <c r="AO60" s="88"/>
    </row>
    <row r="61" spans="1:41" s="64" customFormat="1" ht="15" customHeight="1" x14ac:dyDescent="0.25">
      <c r="A61" s="38"/>
      <c r="B61" s="38"/>
      <c r="C61" s="67" t="s">
        <v>189</v>
      </c>
      <c r="D61" s="68" t="s">
        <v>189</v>
      </c>
      <c r="E61" s="69"/>
      <c r="F61" s="55"/>
      <c r="G61" s="55" t="s">
        <v>190</v>
      </c>
      <c r="H61" s="55" t="s">
        <v>191</v>
      </c>
      <c r="I61" s="55" t="s">
        <v>192</v>
      </c>
      <c r="J61" s="55" t="s">
        <v>193</v>
      </c>
      <c r="K61" s="56" t="s">
        <v>194</v>
      </c>
      <c r="L61" s="57" t="s">
        <v>193</v>
      </c>
      <c r="M61" s="65" t="s">
        <v>212</v>
      </c>
      <c r="N61" s="65" t="s">
        <v>213</v>
      </c>
      <c r="O61" s="65" t="s">
        <v>214</v>
      </c>
      <c r="P61" s="29" t="s">
        <v>193</v>
      </c>
      <c r="Q61" s="29" t="s">
        <v>193</v>
      </c>
      <c r="R61" s="29" t="str">
        <f t="shared" si="22"/>
        <v>[°C]</v>
      </c>
      <c r="S61" s="29" t="str">
        <f t="shared" si="22"/>
        <v>[°C]</v>
      </c>
      <c r="T61" s="31" t="s">
        <v>198</v>
      </c>
      <c r="U61" s="31" t="s">
        <v>199</v>
      </c>
      <c r="V61" s="66" t="s">
        <v>200</v>
      </c>
      <c r="W61" s="60" t="s">
        <v>201</v>
      </c>
      <c r="X61" s="60" t="s">
        <v>202</v>
      </c>
      <c r="Y61" s="60" t="s">
        <v>203</v>
      </c>
      <c r="Z61" s="60" t="s">
        <v>204</v>
      </c>
      <c r="AA61" s="26" t="s">
        <v>194</v>
      </c>
      <c r="AB61" s="26" t="s">
        <v>194</v>
      </c>
      <c r="AC61" s="26" t="s">
        <v>193</v>
      </c>
      <c r="AD61" s="26" t="s">
        <v>193</v>
      </c>
      <c r="AE61" s="108"/>
      <c r="AF61" s="62"/>
      <c r="AG61" s="94">
        <v>1</v>
      </c>
      <c r="AH61" s="51"/>
      <c r="AN61" s="88"/>
      <c r="AO61" s="88"/>
    </row>
    <row r="62" spans="1:41" ht="15" customHeight="1" x14ac:dyDescent="0.25">
      <c r="A62" s="38" t="str">
        <f>CONCATENATE("X"," ",D62)</f>
        <v>X 170</v>
      </c>
      <c r="C62" s="70">
        <v>170</v>
      </c>
      <c r="D62" s="71">
        <v>170</v>
      </c>
      <c r="E62" s="109"/>
      <c r="F62" s="72">
        <f>Calculator!$M$2</f>
        <v>10</v>
      </c>
      <c r="G62" s="73">
        <f>Fjäderkurva!$D$14</f>
        <v>10</v>
      </c>
      <c r="H62" s="73">
        <f>Fjäderkurva!$D$19</f>
        <v>150</v>
      </c>
      <c r="I62" s="73">
        <f>Calculator!$X$19</f>
        <v>20</v>
      </c>
      <c r="J62" s="74">
        <f>Calculator!$X$20</f>
        <v>20</v>
      </c>
      <c r="K62" s="97">
        <v>77</v>
      </c>
      <c r="L62" s="98">
        <f t="shared" si="5"/>
        <v>25</v>
      </c>
      <c r="M62" s="110">
        <f>0.0125</f>
        <v>1.2500000000000001E-2</v>
      </c>
      <c r="N62" s="111">
        <f>0.88*(H62/180)+0.12</f>
        <v>0.85333333333333339</v>
      </c>
      <c r="O62" s="111">
        <f t="shared" ref="O62:O72" si="23">(G62/F62)^1.15</f>
        <v>1</v>
      </c>
      <c r="P62" s="80">
        <f>F62*I62*M62*N62*O62+J62</f>
        <v>22.133333333333333</v>
      </c>
      <c r="Q62" s="80">
        <f>P62+10</f>
        <v>32.133333333333333</v>
      </c>
      <c r="R62" s="81">
        <f t="shared" si="22"/>
        <v>22.133333333333333</v>
      </c>
      <c r="S62" s="81">
        <f t="shared" si="22"/>
        <v>32.133333333333333</v>
      </c>
      <c r="T62" s="82">
        <f t="shared" si="7"/>
        <v>71.84</v>
      </c>
      <c r="U62" s="82">
        <f t="shared" si="7"/>
        <v>89.84</v>
      </c>
      <c r="V62" s="83">
        <f t="shared" si="15"/>
        <v>25</v>
      </c>
      <c r="W62" s="84">
        <f t="shared" si="16"/>
        <v>47.133333333333333</v>
      </c>
      <c r="X62" s="84">
        <f t="shared" si="10"/>
        <v>57.133333333333333</v>
      </c>
      <c r="Y62" s="84">
        <f t="shared" si="17"/>
        <v>116.84</v>
      </c>
      <c r="Z62" s="84">
        <f t="shared" si="17"/>
        <v>134.84</v>
      </c>
      <c r="AA62" s="85">
        <f t="shared" si="2"/>
        <v>116.84</v>
      </c>
      <c r="AB62" s="86">
        <f t="shared" si="2"/>
        <v>134.84</v>
      </c>
      <c r="AC62" s="86">
        <f t="shared" si="12"/>
        <v>47.13333333333334</v>
      </c>
      <c r="AD62" s="86">
        <f t="shared" si="12"/>
        <v>57.13333333333334</v>
      </c>
      <c r="AE62" s="62" t="str">
        <f>IF(Q62&gt;80,"High temp. Please contact your distributor for advice",IF(H62&gt;180,"Too high charging pressure!",""))</f>
        <v/>
      </c>
      <c r="AF62" s="62" t="str">
        <f t="shared" si="13"/>
        <v/>
      </c>
      <c r="AG62" s="50">
        <v>1</v>
      </c>
      <c r="AH62" s="87" t="s">
        <v>219</v>
      </c>
      <c r="AN62" s="88">
        <v>34</v>
      </c>
      <c r="AO62" s="88">
        <v>44</v>
      </c>
    </row>
    <row r="63" spans="1:41" ht="15" customHeight="1" x14ac:dyDescent="0.25">
      <c r="A63" s="38" t="str">
        <f t="shared" ref="A63:A73" si="24">CONCATENATE("X"," ",D63)</f>
        <v>X 320</v>
      </c>
      <c r="C63" s="70">
        <v>320</v>
      </c>
      <c r="D63" s="71">
        <v>320</v>
      </c>
      <c r="E63" s="109"/>
      <c r="F63" s="72">
        <f>Calculator!$M$2</f>
        <v>10</v>
      </c>
      <c r="G63" s="73">
        <f>Fjäderkurva!$D$14</f>
        <v>10</v>
      </c>
      <c r="H63" s="73">
        <f>Fjäderkurva!$D$19</f>
        <v>150</v>
      </c>
      <c r="I63" s="73">
        <f>Calculator!$X$19</f>
        <v>20</v>
      </c>
      <c r="J63" s="74">
        <f>Calculator!$X$20</f>
        <v>20</v>
      </c>
      <c r="K63" s="97">
        <v>77</v>
      </c>
      <c r="L63" s="98">
        <f t="shared" si="5"/>
        <v>25</v>
      </c>
      <c r="M63" s="110">
        <f>-0.0000681414497203971*F63+0.023229141</f>
        <v>2.2547726502796028E-2</v>
      </c>
      <c r="N63" s="111">
        <f>0.76*(H63/180)+0.24</f>
        <v>0.87333333333333341</v>
      </c>
      <c r="O63" s="111">
        <f t="shared" si="23"/>
        <v>1</v>
      </c>
      <c r="P63" s="80">
        <f>F63*I63*M63*N63*O63+J63-2</f>
        <v>21.938336229155041</v>
      </c>
      <c r="Q63" s="80">
        <f t="shared" ref="Q63:Q72" si="25">P63+10</f>
        <v>31.938336229155041</v>
      </c>
      <c r="R63" s="81">
        <f t="shared" si="22"/>
        <v>21.938336229155041</v>
      </c>
      <c r="S63" s="81">
        <f t="shared" si="22"/>
        <v>31.938336229155041</v>
      </c>
      <c r="T63" s="82">
        <f t="shared" si="7"/>
        <v>71.489005212479071</v>
      </c>
      <c r="U63" s="82">
        <f t="shared" si="7"/>
        <v>89.489005212479071</v>
      </c>
      <c r="V63" s="83">
        <f t="shared" si="15"/>
        <v>25</v>
      </c>
      <c r="W63" s="84">
        <f t="shared" si="16"/>
        <v>46.938336229155041</v>
      </c>
      <c r="X63" s="84">
        <f t="shared" si="10"/>
        <v>56.938336229155041</v>
      </c>
      <c r="Y63" s="84">
        <f t="shared" si="17"/>
        <v>116.48900521247907</v>
      </c>
      <c r="Z63" s="84">
        <f t="shared" si="17"/>
        <v>134.48900521247907</v>
      </c>
      <c r="AA63" s="85">
        <f t="shared" si="2"/>
        <v>116.48900521247907</v>
      </c>
      <c r="AB63" s="86">
        <f t="shared" si="2"/>
        <v>134.48900521247907</v>
      </c>
      <c r="AC63" s="86">
        <f t="shared" si="12"/>
        <v>46.938336229155041</v>
      </c>
      <c r="AD63" s="86">
        <f t="shared" si="12"/>
        <v>56.938336229155041</v>
      </c>
      <c r="AE63" s="62" t="str">
        <f>IF(Q63&gt;80,"High temp. Please contact your distributor for advice",IF(H63&gt;180,"Too high charging pressure!",""))</f>
        <v/>
      </c>
      <c r="AF63" s="62" t="str">
        <f t="shared" si="13"/>
        <v/>
      </c>
      <c r="AG63" s="50">
        <v>1</v>
      </c>
      <c r="AH63" s="87" t="s">
        <v>219</v>
      </c>
      <c r="AN63" s="88">
        <v>36</v>
      </c>
      <c r="AO63" s="88">
        <v>46</v>
      </c>
    </row>
    <row r="64" spans="1:41" ht="15" customHeight="1" x14ac:dyDescent="0.25">
      <c r="A64" s="38" t="str">
        <f t="shared" si="24"/>
        <v>X 350</v>
      </c>
      <c r="C64" s="70">
        <v>350</v>
      </c>
      <c r="D64" s="71">
        <v>350</v>
      </c>
      <c r="E64" s="109"/>
      <c r="F64" s="72">
        <f>Calculator!$M$2</f>
        <v>10</v>
      </c>
      <c r="G64" s="73">
        <f>Fjäderkurva!$D$14</f>
        <v>10</v>
      </c>
      <c r="H64" s="73">
        <f>Fjäderkurva!$D$19</f>
        <v>150</v>
      </c>
      <c r="I64" s="73">
        <f>Calculator!$X$19</f>
        <v>20</v>
      </c>
      <c r="J64" s="74">
        <f>Calculator!$X$20</f>
        <v>20</v>
      </c>
      <c r="K64" s="97">
        <v>77</v>
      </c>
      <c r="L64" s="98">
        <f t="shared" si="5"/>
        <v>25</v>
      </c>
      <c r="M64" s="110">
        <f>-0.0000557409944506719*F64+0.012735192</f>
        <v>1.217778205549328E-2</v>
      </c>
      <c r="N64" s="111">
        <f>0.78*(H64/180)+0.22</f>
        <v>0.87</v>
      </c>
      <c r="O64" s="111">
        <f t="shared" si="23"/>
        <v>1</v>
      </c>
      <c r="P64" s="80">
        <f t="shared" ref="P64:P72" si="26">F64*I64*M64*N64*O64+J64</f>
        <v>22.11893407765583</v>
      </c>
      <c r="Q64" s="80">
        <f t="shared" si="25"/>
        <v>32.11893407765583</v>
      </c>
      <c r="R64" s="81">
        <f t="shared" si="22"/>
        <v>22.11893407765583</v>
      </c>
      <c r="S64" s="81">
        <f t="shared" si="22"/>
        <v>32.11893407765583</v>
      </c>
      <c r="T64" s="82">
        <f t="shared" si="7"/>
        <v>71.8140813397805</v>
      </c>
      <c r="U64" s="82">
        <f t="shared" si="7"/>
        <v>89.8140813397805</v>
      </c>
      <c r="V64" s="83">
        <f t="shared" si="15"/>
        <v>25</v>
      </c>
      <c r="W64" s="84">
        <f t="shared" si="16"/>
        <v>47.11893407765583</v>
      </c>
      <c r="X64" s="84">
        <f t="shared" si="10"/>
        <v>57.11893407765583</v>
      </c>
      <c r="Y64" s="84">
        <f t="shared" si="17"/>
        <v>116.8140813397805</v>
      </c>
      <c r="Z64" s="84">
        <f t="shared" si="17"/>
        <v>134.8140813397805</v>
      </c>
      <c r="AA64" s="85">
        <f t="shared" si="2"/>
        <v>116.8140813397805</v>
      </c>
      <c r="AB64" s="86">
        <f t="shared" si="2"/>
        <v>134.8140813397805</v>
      </c>
      <c r="AC64" s="86">
        <f t="shared" si="12"/>
        <v>47.118934077655837</v>
      </c>
      <c r="AD64" s="86">
        <f t="shared" si="12"/>
        <v>57.118934077655837</v>
      </c>
      <c r="AE64" s="62" t="str">
        <f>IF(Q64&gt;80,"High temp. Please contact your distributor for advice",IF(H64&gt;180,"Too high charging pressure!",""))</f>
        <v/>
      </c>
      <c r="AF64" s="62" t="str">
        <f t="shared" si="13"/>
        <v/>
      </c>
      <c r="AG64" s="50">
        <v>1</v>
      </c>
      <c r="AH64" s="87" t="s">
        <v>219</v>
      </c>
      <c r="AN64" s="88">
        <v>31</v>
      </c>
      <c r="AO64" s="88">
        <v>41</v>
      </c>
    </row>
    <row r="65" spans="1:41" ht="15" customHeight="1" x14ac:dyDescent="0.25">
      <c r="A65" s="38" t="str">
        <f t="shared" si="24"/>
        <v>X 500</v>
      </c>
      <c r="C65" s="70">
        <v>500</v>
      </c>
      <c r="D65" s="71">
        <v>500</v>
      </c>
      <c r="E65" s="109"/>
      <c r="F65" s="72">
        <f>Calculator!$M$2</f>
        <v>10</v>
      </c>
      <c r="G65" s="73">
        <f>Fjäderkurva!$D$14</f>
        <v>10</v>
      </c>
      <c r="H65" s="73">
        <f>Fjäderkurva!$D$19</f>
        <v>150</v>
      </c>
      <c r="I65" s="73">
        <f>Calculator!$X$19</f>
        <v>20</v>
      </c>
      <c r="J65" s="74">
        <f>Calculator!$X$20</f>
        <v>20</v>
      </c>
      <c r="K65" s="97">
        <v>77</v>
      </c>
      <c r="L65" s="98">
        <f t="shared" si="5"/>
        <v>25</v>
      </c>
      <c r="M65" s="110">
        <f>-0.0000286323189548996*F65+0.01030877</f>
        <v>1.0022446810451004E-2</v>
      </c>
      <c r="N65" s="111">
        <f>0.69*(H65/150)+0.31</f>
        <v>1</v>
      </c>
      <c r="O65" s="111">
        <f t="shared" si="23"/>
        <v>1</v>
      </c>
      <c r="P65" s="80">
        <f t="shared" si="26"/>
        <v>22.004489362090201</v>
      </c>
      <c r="Q65" s="80">
        <f t="shared" si="25"/>
        <v>32.004489362090197</v>
      </c>
      <c r="R65" s="81">
        <f t="shared" si="22"/>
        <v>22.004489362090201</v>
      </c>
      <c r="S65" s="81">
        <f t="shared" si="22"/>
        <v>32.004489362090197</v>
      </c>
      <c r="T65" s="82">
        <f t="shared" si="7"/>
        <v>71.608080851762367</v>
      </c>
      <c r="U65" s="82">
        <f t="shared" si="7"/>
        <v>89.608080851762367</v>
      </c>
      <c r="V65" s="83">
        <f t="shared" si="15"/>
        <v>25</v>
      </c>
      <c r="W65" s="84">
        <f t="shared" si="16"/>
        <v>47.004489362090197</v>
      </c>
      <c r="X65" s="84">
        <f t="shared" si="10"/>
        <v>57.004489362090197</v>
      </c>
      <c r="Y65" s="84">
        <f t="shared" si="17"/>
        <v>116.60808085176235</v>
      </c>
      <c r="Z65" s="84">
        <f t="shared" si="17"/>
        <v>134.60808085176234</v>
      </c>
      <c r="AA65" s="85">
        <f t="shared" si="2"/>
        <v>116.60808085176235</v>
      </c>
      <c r="AB65" s="86">
        <f t="shared" si="2"/>
        <v>134.60808085176234</v>
      </c>
      <c r="AC65" s="86">
        <f t="shared" si="12"/>
        <v>47.004489362090197</v>
      </c>
      <c r="AD65" s="86">
        <f t="shared" si="12"/>
        <v>57.00448936209019</v>
      </c>
      <c r="AE65" s="62" t="str">
        <f t="shared" ref="AE65:AE73" si="27">IF(Q65&gt;80,"High temp. Please contact your distributor for advice",IF(H65&gt;150,"Too high charging pressure!",""))</f>
        <v/>
      </c>
      <c r="AF65" s="62" t="str">
        <f t="shared" si="13"/>
        <v/>
      </c>
      <c r="AG65" s="50">
        <v>1</v>
      </c>
      <c r="AH65" s="87" t="s">
        <v>219</v>
      </c>
      <c r="AN65" s="88">
        <v>32</v>
      </c>
      <c r="AO65" s="88">
        <v>42</v>
      </c>
    </row>
    <row r="66" spans="1:41" ht="15" customHeight="1" x14ac:dyDescent="0.25">
      <c r="A66" s="38" t="str">
        <f t="shared" si="24"/>
        <v>X 750</v>
      </c>
      <c r="C66" s="70">
        <v>750</v>
      </c>
      <c r="D66" s="71">
        <v>750</v>
      </c>
      <c r="E66" s="109"/>
      <c r="F66" s="72">
        <f>Calculator!$M$2</f>
        <v>10</v>
      </c>
      <c r="G66" s="73">
        <f>Fjäderkurva!$D$14</f>
        <v>10</v>
      </c>
      <c r="H66" s="73">
        <f>Fjäderkurva!$D$19</f>
        <v>150</v>
      </c>
      <c r="I66" s="73">
        <f>Calculator!$X$19</f>
        <v>20</v>
      </c>
      <c r="J66" s="74">
        <f>Calculator!$X$20</f>
        <v>20</v>
      </c>
      <c r="K66" s="97">
        <v>77</v>
      </c>
      <c r="L66" s="98">
        <f t="shared" si="5"/>
        <v>25</v>
      </c>
      <c r="M66" s="110">
        <f>-5.21759415768633E-06*F66+0.011064444</f>
        <v>1.1012268058423137E-2</v>
      </c>
      <c r="N66" s="111">
        <f>0.7*(H66/150)+0.3</f>
        <v>1</v>
      </c>
      <c r="O66" s="111">
        <f t="shared" si="23"/>
        <v>1</v>
      </c>
      <c r="P66" s="80">
        <f t="shared" si="26"/>
        <v>22.202453611684628</v>
      </c>
      <c r="Q66" s="80">
        <f t="shared" si="25"/>
        <v>32.202453611684632</v>
      </c>
      <c r="R66" s="81">
        <f t="shared" si="22"/>
        <v>22.202453611684628</v>
      </c>
      <c r="S66" s="81">
        <f t="shared" si="22"/>
        <v>32.202453611684632</v>
      </c>
      <c r="T66" s="82">
        <f t="shared" si="7"/>
        <v>71.964416501032332</v>
      </c>
      <c r="U66" s="82">
        <f t="shared" si="7"/>
        <v>89.964416501032332</v>
      </c>
      <c r="V66" s="83">
        <f t="shared" si="15"/>
        <v>25</v>
      </c>
      <c r="W66" s="84">
        <f t="shared" si="16"/>
        <v>47.202453611684632</v>
      </c>
      <c r="X66" s="84">
        <f t="shared" si="10"/>
        <v>57.202453611684632</v>
      </c>
      <c r="Y66" s="84">
        <f t="shared" si="17"/>
        <v>116.96441650103235</v>
      </c>
      <c r="Z66" s="84">
        <f t="shared" si="17"/>
        <v>134.96441650103236</v>
      </c>
      <c r="AA66" s="85">
        <f t="shared" si="2"/>
        <v>116.96441650103235</v>
      </c>
      <c r="AB66" s="86">
        <f t="shared" si="2"/>
        <v>134.96441650103236</v>
      </c>
      <c r="AC66" s="86">
        <f t="shared" si="12"/>
        <v>47.202453611684639</v>
      </c>
      <c r="AD66" s="86">
        <f t="shared" si="12"/>
        <v>57.202453611684646</v>
      </c>
      <c r="AE66" s="62" t="str">
        <f t="shared" si="27"/>
        <v/>
      </c>
      <c r="AF66" s="62" t="str">
        <f t="shared" si="13"/>
        <v/>
      </c>
      <c r="AG66" s="50">
        <v>1</v>
      </c>
      <c r="AH66" s="87" t="s">
        <v>219</v>
      </c>
      <c r="AN66" s="88">
        <v>34</v>
      </c>
      <c r="AO66" s="88">
        <v>44</v>
      </c>
    </row>
    <row r="67" spans="1:41" ht="15" customHeight="1" x14ac:dyDescent="0.25">
      <c r="A67" s="38" t="str">
        <f t="shared" si="24"/>
        <v>X 1000</v>
      </c>
      <c r="C67" s="70">
        <v>1000</v>
      </c>
      <c r="D67" s="71">
        <v>1000</v>
      </c>
      <c r="E67" s="109"/>
      <c r="F67" s="72">
        <f>Calculator!$M$2</f>
        <v>10</v>
      </c>
      <c r="G67" s="73">
        <f>Fjäderkurva!$D$14</f>
        <v>10</v>
      </c>
      <c r="H67" s="73">
        <f>Fjäderkurva!$D$19</f>
        <v>150</v>
      </c>
      <c r="I67" s="73">
        <f>Calculator!$X$19</f>
        <v>20</v>
      </c>
      <c r="J67" s="74">
        <f>Calculator!$X$20</f>
        <v>20</v>
      </c>
      <c r="K67" s="97">
        <v>77</v>
      </c>
      <c r="L67" s="98">
        <f t="shared" si="5"/>
        <v>25</v>
      </c>
      <c r="M67" s="110">
        <f>-3.37582158982632E-06*F67+0.012213964</f>
        <v>1.2180205784101738E-2</v>
      </c>
      <c r="N67" s="111">
        <f>0.79*(H67/150)+0.21</f>
        <v>1</v>
      </c>
      <c r="O67" s="111">
        <f t="shared" si="23"/>
        <v>1</v>
      </c>
      <c r="P67" s="80">
        <f t="shared" si="26"/>
        <v>22.436041156820348</v>
      </c>
      <c r="Q67" s="80">
        <f t="shared" si="25"/>
        <v>32.436041156820352</v>
      </c>
      <c r="R67" s="81">
        <f t="shared" si="22"/>
        <v>22.436041156820348</v>
      </c>
      <c r="S67" s="81">
        <f t="shared" si="22"/>
        <v>32.436041156820352</v>
      </c>
      <c r="T67" s="82">
        <f t="shared" si="7"/>
        <v>72.384874082276625</v>
      </c>
      <c r="U67" s="82">
        <f t="shared" si="7"/>
        <v>90.384874082276639</v>
      </c>
      <c r="V67" s="83">
        <f t="shared" si="15"/>
        <v>25</v>
      </c>
      <c r="W67" s="84">
        <f t="shared" si="16"/>
        <v>47.436041156820352</v>
      </c>
      <c r="X67" s="84">
        <f t="shared" si="10"/>
        <v>57.436041156820352</v>
      </c>
      <c r="Y67" s="84">
        <f t="shared" si="17"/>
        <v>117.38487408227664</v>
      </c>
      <c r="Z67" s="84">
        <f t="shared" si="17"/>
        <v>135.38487408227664</v>
      </c>
      <c r="AA67" s="85">
        <f t="shared" si="2"/>
        <v>117.38487408227664</v>
      </c>
      <c r="AB67" s="86">
        <f t="shared" si="2"/>
        <v>135.38487408227664</v>
      </c>
      <c r="AC67" s="86">
        <f t="shared" si="12"/>
        <v>47.436041156820359</v>
      </c>
      <c r="AD67" s="86">
        <f t="shared" si="12"/>
        <v>57.436041156820359</v>
      </c>
      <c r="AE67" s="62" t="str">
        <f t="shared" si="27"/>
        <v/>
      </c>
      <c r="AF67" s="62" t="str">
        <f t="shared" si="13"/>
        <v/>
      </c>
      <c r="AG67" s="50">
        <v>1</v>
      </c>
      <c r="AH67" s="87" t="s">
        <v>219</v>
      </c>
      <c r="AN67" s="88">
        <v>36</v>
      </c>
      <c r="AO67" s="88">
        <v>46</v>
      </c>
    </row>
    <row r="68" spans="1:41" ht="15" customHeight="1" x14ac:dyDescent="0.25">
      <c r="A68" s="38" t="str">
        <f t="shared" si="24"/>
        <v>X 1500</v>
      </c>
      <c r="C68" s="70">
        <v>1500</v>
      </c>
      <c r="D68" s="71">
        <v>1500</v>
      </c>
      <c r="E68" s="109"/>
      <c r="F68" s="72">
        <f>Calculator!$M$2</f>
        <v>10</v>
      </c>
      <c r="G68" s="73">
        <f>Fjäderkurva!$D$14</f>
        <v>10</v>
      </c>
      <c r="H68" s="73">
        <f>Fjäderkurva!$D$19</f>
        <v>150</v>
      </c>
      <c r="I68" s="73">
        <f>Calculator!$X$19</f>
        <v>20</v>
      </c>
      <c r="J68" s="74">
        <f>Calculator!$X$20</f>
        <v>20</v>
      </c>
      <c r="K68" s="97">
        <v>77</v>
      </c>
      <c r="L68" s="98">
        <f t="shared" si="5"/>
        <v>25</v>
      </c>
      <c r="M68" s="110">
        <f>-0.0000115814333465656*F68+0.0161709</f>
        <v>1.6055085666534342E-2</v>
      </c>
      <c r="N68" s="111">
        <f>0.84*(H68/150)+0.16</f>
        <v>1</v>
      </c>
      <c r="O68" s="111">
        <f t="shared" si="23"/>
        <v>1</v>
      </c>
      <c r="P68" s="80">
        <f t="shared" si="26"/>
        <v>23.211017133306868</v>
      </c>
      <c r="Q68" s="80">
        <f t="shared" si="25"/>
        <v>33.211017133306868</v>
      </c>
      <c r="R68" s="81">
        <f t="shared" si="22"/>
        <v>23.211017133306868</v>
      </c>
      <c r="S68" s="81">
        <f t="shared" si="22"/>
        <v>33.211017133306868</v>
      </c>
      <c r="T68" s="82">
        <f t="shared" si="7"/>
        <v>73.779830839952353</v>
      </c>
      <c r="U68" s="82">
        <f t="shared" si="7"/>
        <v>91.779830839952353</v>
      </c>
      <c r="V68" s="83">
        <f t="shared" si="15"/>
        <v>25</v>
      </c>
      <c r="W68" s="84">
        <f t="shared" si="16"/>
        <v>48.211017133306868</v>
      </c>
      <c r="X68" s="84">
        <f t="shared" si="10"/>
        <v>58.211017133306868</v>
      </c>
      <c r="Y68" s="84">
        <f t="shared" si="17"/>
        <v>118.77983083995237</v>
      </c>
      <c r="Z68" s="84">
        <f t="shared" si="17"/>
        <v>136.77983083995235</v>
      </c>
      <c r="AA68" s="85">
        <f t="shared" si="2"/>
        <v>118.77983083995237</v>
      </c>
      <c r="AB68" s="86">
        <f t="shared" si="2"/>
        <v>136.77983083995235</v>
      </c>
      <c r="AC68" s="86">
        <f t="shared" si="12"/>
        <v>48.211017133306875</v>
      </c>
      <c r="AD68" s="86">
        <f t="shared" si="12"/>
        <v>58.211017133306868</v>
      </c>
      <c r="AE68" s="62" t="str">
        <f t="shared" si="27"/>
        <v/>
      </c>
      <c r="AF68" s="62" t="str">
        <f t="shared" si="13"/>
        <v/>
      </c>
      <c r="AG68" s="50">
        <v>1</v>
      </c>
      <c r="AH68" s="87" t="s">
        <v>219</v>
      </c>
      <c r="AN68" s="88">
        <v>38</v>
      </c>
      <c r="AO68" s="88">
        <v>48</v>
      </c>
    </row>
    <row r="69" spans="1:41" ht="15" customHeight="1" x14ac:dyDescent="0.25">
      <c r="A69" s="38" t="str">
        <f t="shared" si="24"/>
        <v>X 2400</v>
      </c>
      <c r="C69" s="70">
        <v>2400</v>
      </c>
      <c r="D69" s="71">
        <v>2400</v>
      </c>
      <c r="E69" s="109"/>
      <c r="F69" s="72">
        <f>Calculator!$M$2</f>
        <v>10</v>
      </c>
      <c r="G69" s="73">
        <f>Fjäderkurva!$D$14</f>
        <v>10</v>
      </c>
      <c r="H69" s="73">
        <f>Fjäderkurva!$D$19</f>
        <v>150</v>
      </c>
      <c r="I69" s="73">
        <f>Calculator!$X$19</f>
        <v>20</v>
      </c>
      <c r="J69" s="74">
        <f>Calculator!$X$20</f>
        <v>20</v>
      </c>
      <c r="K69" s="97">
        <v>77</v>
      </c>
      <c r="L69" s="98">
        <f t="shared" si="5"/>
        <v>25</v>
      </c>
      <c r="M69" s="110">
        <v>1.5820000000000001E-2</v>
      </c>
      <c r="N69" s="111">
        <f>0.87*(H69/150)+0.13</f>
        <v>1</v>
      </c>
      <c r="O69" s="111">
        <f t="shared" si="23"/>
        <v>1</v>
      </c>
      <c r="P69" s="80">
        <f t="shared" si="26"/>
        <v>23.164000000000001</v>
      </c>
      <c r="Q69" s="80">
        <f t="shared" si="25"/>
        <v>33.164000000000001</v>
      </c>
      <c r="R69" s="81">
        <f t="shared" si="22"/>
        <v>23.164000000000001</v>
      </c>
      <c r="S69" s="81">
        <f t="shared" si="22"/>
        <v>33.164000000000001</v>
      </c>
      <c r="T69" s="82">
        <f t="shared" si="7"/>
        <v>73.6952</v>
      </c>
      <c r="U69" s="82">
        <f t="shared" si="7"/>
        <v>91.6952</v>
      </c>
      <c r="V69" s="83">
        <f t="shared" si="15"/>
        <v>25</v>
      </c>
      <c r="W69" s="84">
        <f t="shared" si="16"/>
        <v>48.164000000000001</v>
      </c>
      <c r="X69" s="84">
        <f t="shared" si="10"/>
        <v>58.164000000000001</v>
      </c>
      <c r="Y69" s="84">
        <f t="shared" si="17"/>
        <v>118.6952</v>
      </c>
      <c r="Z69" s="84">
        <f t="shared" si="17"/>
        <v>136.6952</v>
      </c>
      <c r="AA69" s="85">
        <f t="shared" si="2"/>
        <v>118.6952</v>
      </c>
      <c r="AB69" s="86">
        <f t="shared" si="2"/>
        <v>136.6952</v>
      </c>
      <c r="AC69" s="86">
        <f t="shared" si="12"/>
        <v>48.164000000000001</v>
      </c>
      <c r="AD69" s="86">
        <f t="shared" si="12"/>
        <v>58.164000000000001</v>
      </c>
      <c r="AE69" s="62" t="str">
        <f t="shared" si="27"/>
        <v/>
      </c>
      <c r="AF69" s="62" t="str">
        <f t="shared" si="13"/>
        <v/>
      </c>
      <c r="AG69" s="50">
        <v>1</v>
      </c>
      <c r="AH69" s="87" t="s">
        <v>219</v>
      </c>
      <c r="AN69" s="88">
        <v>39</v>
      </c>
      <c r="AO69" s="88">
        <v>49</v>
      </c>
    </row>
    <row r="70" spans="1:41" ht="15" customHeight="1" x14ac:dyDescent="0.25">
      <c r="A70" s="38" t="str">
        <f t="shared" si="24"/>
        <v>X 4200</v>
      </c>
      <c r="C70" s="70">
        <v>4200</v>
      </c>
      <c r="D70" s="71">
        <v>4200</v>
      </c>
      <c r="E70" s="109"/>
      <c r="F70" s="72">
        <f>Calculator!$M$2</f>
        <v>10</v>
      </c>
      <c r="G70" s="73">
        <f>Fjäderkurva!$D$14</f>
        <v>10</v>
      </c>
      <c r="H70" s="73">
        <f>Fjäderkurva!$D$19</f>
        <v>150</v>
      </c>
      <c r="I70" s="73">
        <f>Calculator!$X$19</f>
        <v>20</v>
      </c>
      <c r="J70" s="74">
        <f>Calculator!$X$20</f>
        <v>20</v>
      </c>
      <c r="K70" s="97">
        <v>77</v>
      </c>
      <c r="L70" s="98">
        <f t="shared" si="5"/>
        <v>25</v>
      </c>
      <c r="M70" s="110">
        <v>1.3690000000000001E-2</v>
      </c>
      <c r="N70" s="111">
        <f>0.8*(H70/150)+0.2</f>
        <v>1</v>
      </c>
      <c r="O70" s="111">
        <f t="shared" si="23"/>
        <v>1</v>
      </c>
      <c r="P70" s="80">
        <f t="shared" si="26"/>
        <v>22.738</v>
      </c>
      <c r="Q70" s="80">
        <f t="shared" si="25"/>
        <v>32.738</v>
      </c>
      <c r="R70" s="81">
        <f t="shared" si="22"/>
        <v>22.738</v>
      </c>
      <c r="S70" s="81">
        <f t="shared" si="22"/>
        <v>32.738</v>
      </c>
      <c r="T70" s="82">
        <f t="shared" si="7"/>
        <v>72.928400000000011</v>
      </c>
      <c r="U70" s="82">
        <f t="shared" si="7"/>
        <v>90.928400000000011</v>
      </c>
      <c r="V70" s="83">
        <f t="shared" si="15"/>
        <v>25</v>
      </c>
      <c r="W70" s="84">
        <f t="shared" si="16"/>
        <v>47.738</v>
      </c>
      <c r="X70" s="84">
        <f t="shared" si="10"/>
        <v>57.738</v>
      </c>
      <c r="Y70" s="84">
        <f t="shared" si="17"/>
        <v>117.9284</v>
      </c>
      <c r="Z70" s="84">
        <f t="shared" si="17"/>
        <v>135.92840000000001</v>
      </c>
      <c r="AA70" s="85">
        <f t="shared" si="2"/>
        <v>117.9284</v>
      </c>
      <c r="AB70" s="86">
        <f t="shared" si="2"/>
        <v>135.92840000000001</v>
      </c>
      <c r="AC70" s="86">
        <f t="shared" si="12"/>
        <v>47.738</v>
      </c>
      <c r="AD70" s="86">
        <f t="shared" si="12"/>
        <v>57.738000000000007</v>
      </c>
      <c r="AE70" s="62" t="str">
        <f t="shared" si="27"/>
        <v/>
      </c>
      <c r="AF70" s="62" t="str">
        <f t="shared" si="13"/>
        <v/>
      </c>
      <c r="AG70" s="50">
        <v>1</v>
      </c>
      <c r="AH70" s="87" t="s">
        <v>219</v>
      </c>
      <c r="AN70" s="88">
        <v>37</v>
      </c>
      <c r="AO70" s="88">
        <v>47</v>
      </c>
    </row>
    <row r="71" spans="1:41" ht="15" customHeight="1" x14ac:dyDescent="0.25">
      <c r="A71" s="38" t="str">
        <f t="shared" si="24"/>
        <v>X 6600</v>
      </c>
      <c r="C71" s="70">
        <v>6600</v>
      </c>
      <c r="D71" s="71">
        <v>6600</v>
      </c>
      <c r="E71" s="109"/>
      <c r="F71" s="72">
        <f>Calculator!$M$2</f>
        <v>10</v>
      </c>
      <c r="G71" s="73">
        <f>Fjäderkurva!$D$14</f>
        <v>10</v>
      </c>
      <c r="H71" s="73">
        <f>Fjäderkurva!$D$19</f>
        <v>150</v>
      </c>
      <c r="I71" s="73">
        <f>Calculator!$X$19</f>
        <v>20</v>
      </c>
      <c r="J71" s="74">
        <f>Calculator!$X$20</f>
        <v>20</v>
      </c>
      <c r="K71" s="97">
        <v>77</v>
      </c>
      <c r="L71" s="98">
        <f t="shared" si="5"/>
        <v>25</v>
      </c>
      <c r="M71" s="110">
        <v>1.3390000000000001E-2</v>
      </c>
      <c r="N71" s="111">
        <f>0.74*(H71/150)+0.26</f>
        <v>1</v>
      </c>
      <c r="O71" s="111">
        <f t="shared" si="23"/>
        <v>1</v>
      </c>
      <c r="P71" s="80">
        <f t="shared" si="26"/>
        <v>22.678000000000001</v>
      </c>
      <c r="Q71" s="80">
        <f t="shared" si="25"/>
        <v>32.677999999999997</v>
      </c>
      <c r="R71" s="81">
        <f t="shared" si="22"/>
        <v>22.678000000000001</v>
      </c>
      <c r="S71" s="81">
        <f t="shared" si="22"/>
        <v>32.677999999999997</v>
      </c>
      <c r="T71" s="82">
        <f t="shared" si="7"/>
        <v>72.820400000000006</v>
      </c>
      <c r="U71" s="82">
        <f t="shared" si="7"/>
        <v>90.820400000000006</v>
      </c>
      <c r="V71" s="83">
        <f t="shared" si="15"/>
        <v>25</v>
      </c>
      <c r="W71" s="84">
        <f t="shared" si="16"/>
        <v>47.677999999999997</v>
      </c>
      <c r="X71" s="84">
        <f t="shared" si="10"/>
        <v>57.677999999999997</v>
      </c>
      <c r="Y71" s="84">
        <f t="shared" si="17"/>
        <v>117.82039999999999</v>
      </c>
      <c r="Z71" s="84">
        <f t="shared" si="17"/>
        <v>135.82040000000001</v>
      </c>
      <c r="AA71" s="85">
        <f t="shared" si="2"/>
        <v>117.82039999999999</v>
      </c>
      <c r="AB71" s="86">
        <f t="shared" si="2"/>
        <v>135.82040000000001</v>
      </c>
      <c r="AC71" s="86">
        <f t="shared" si="12"/>
        <v>47.677999999999997</v>
      </c>
      <c r="AD71" s="86">
        <f t="shared" si="12"/>
        <v>57.678000000000004</v>
      </c>
      <c r="AE71" s="62" t="str">
        <f t="shared" si="27"/>
        <v/>
      </c>
      <c r="AF71" s="62" t="str">
        <f t="shared" si="13"/>
        <v/>
      </c>
      <c r="AG71" s="50">
        <v>1</v>
      </c>
      <c r="AH71" s="87" t="s">
        <v>219</v>
      </c>
      <c r="AN71" s="88">
        <v>37</v>
      </c>
      <c r="AO71" s="88">
        <v>47</v>
      </c>
    </row>
    <row r="72" spans="1:41" ht="15" customHeight="1" x14ac:dyDescent="0.25">
      <c r="A72" s="38" t="str">
        <f t="shared" si="24"/>
        <v>X 9500</v>
      </c>
      <c r="C72" s="70">
        <v>9500</v>
      </c>
      <c r="D72" s="71">
        <v>9500</v>
      </c>
      <c r="E72" s="109"/>
      <c r="F72" s="72">
        <f>Calculator!$M$2</f>
        <v>10</v>
      </c>
      <c r="G72" s="73">
        <f>Fjäderkurva!$D$14</f>
        <v>10</v>
      </c>
      <c r="H72" s="73">
        <f>Fjäderkurva!$D$19</f>
        <v>150</v>
      </c>
      <c r="I72" s="73">
        <f>Calculator!$X$19</f>
        <v>20</v>
      </c>
      <c r="J72" s="74">
        <f>Calculator!$X$20</f>
        <v>20</v>
      </c>
      <c r="K72" s="97">
        <v>77</v>
      </c>
      <c r="L72" s="98">
        <f t="shared" si="5"/>
        <v>25</v>
      </c>
      <c r="M72" s="110">
        <f>-0.0000191040326040326*F72+0.011165147</f>
        <v>1.0974106673959674E-2</v>
      </c>
      <c r="N72" s="111">
        <f>0.77*(H72/150)+0.23</f>
        <v>1</v>
      </c>
      <c r="O72" s="111">
        <f t="shared" si="23"/>
        <v>1</v>
      </c>
      <c r="P72" s="80">
        <f t="shared" si="26"/>
        <v>22.194821334791936</v>
      </c>
      <c r="Q72" s="80">
        <f t="shared" si="25"/>
        <v>32.194821334791939</v>
      </c>
      <c r="R72" s="81">
        <f t="shared" si="22"/>
        <v>22.194821334791936</v>
      </c>
      <c r="S72" s="81">
        <f t="shared" si="22"/>
        <v>32.194821334791939</v>
      </c>
      <c r="T72" s="82">
        <f t="shared" si="7"/>
        <v>71.950678402625485</v>
      </c>
      <c r="U72" s="82">
        <f t="shared" si="7"/>
        <v>89.950678402625499</v>
      </c>
      <c r="V72" s="83">
        <f t="shared" si="15"/>
        <v>25</v>
      </c>
      <c r="W72" s="84">
        <f t="shared" si="16"/>
        <v>47.194821334791939</v>
      </c>
      <c r="X72" s="84">
        <f t="shared" si="10"/>
        <v>57.194821334791939</v>
      </c>
      <c r="Y72" s="84">
        <f t="shared" si="17"/>
        <v>116.9506784026255</v>
      </c>
      <c r="Z72" s="84">
        <f t="shared" si="17"/>
        <v>134.9506784026255</v>
      </c>
      <c r="AA72" s="85">
        <f t="shared" si="2"/>
        <v>116.9506784026255</v>
      </c>
      <c r="AB72" s="86">
        <f t="shared" si="2"/>
        <v>134.9506784026255</v>
      </c>
      <c r="AC72" s="86">
        <f t="shared" si="12"/>
        <v>47.194821334791946</v>
      </c>
      <c r="AD72" s="86">
        <f t="shared" si="12"/>
        <v>57.194821334791946</v>
      </c>
      <c r="AE72" s="62" t="str">
        <f t="shared" si="27"/>
        <v/>
      </c>
      <c r="AF72" s="62" t="str">
        <f t="shared" si="13"/>
        <v/>
      </c>
      <c r="AG72" s="50">
        <v>1</v>
      </c>
      <c r="AH72" s="87" t="s">
        <v>219</v>
      </c>
      <c r="AN72" s="88">
        <v>33</v>
      </c>
      <c r="AO72" s="88">
        <v>43</v>
      </c>
    </row>
    <row r="73" spans="1:41" ht="15" customHeight="1" x14ac:dyDescent="0.25">
      <c r="A73" s="38" t="str">
        <f t="shared" si="24"/>
        <v>X 20000</v>
      </c>
      <c r="C73" s="70">
        <v>20000</v>
      </c>
      <c r="D73" s="71">
        <v>20000</v>
      </c>
      <c r="F73" s="72">
        <f>Calculator!$M$2</f>
        <v>10</v>
      </c>
      <c r="G73" s="73">
        <f>Fjäderkurva!$D$14</f>
        <v>10</v>
      </c>
      <c r="H73" s="73">
        <f>Fjäderkurva!$D$19</f>
        <v>150</v>
      </c>
      <c r="I73" s="73">
        <f>Calculator!$X$19</f>
        <v>20</v>
      </c>
      <c r="J73" s="74">
        <f>Calculator!$X$20</f>
        <v>20</v>
      </c>
      <c r="K73" s="97">
        <v>77</v>
      </c>
      <c r="L73" s="98">
        <f t="shared" si="5"/>
        <v>25</v>
      </c>
      <c r="M73" s="110">
        <f>0.0000242305296039432*H73*F73*(100*G73/F73)</f>
        <v>3.6345794405914797</v>
      </c>
      <c r="N73" s="111">
        <f>0.000200697723517146*I73*F73*G73/F73*100*0.0121957161724547*F73*I73</f>
        <v>9.7906098898915985</v>
      </c>
      <c r="O73" s="111">
        <f>0.116667676767677*H73</f>
        <v>17.500151515151551</v>
      </c>
      <c r="P73" s="80">
        <f>J73+(O73*N73*M73*0.000233655270520329+4.89453401490754)</f>
        <v>25.040040149088554</v>
      </c>
      <c r="Q73" s="80">
        <f>P73+10</f>
        <v>35.040040149088554</v>
      </c>
      <c r="R73" s="81">
        <f t="shared" si="22"/>
        <v>25.040040149088554</v>
      </c>
      <c r="S73" s="81">
        <f t="shared" si="22"/>
        <v>35.040040149088554</v>
      </c>
      <c r="T73" s="82">
        <f t="shared" si="7"/>
        <v>77.072072268359392</v>
      </c>
      <c r="U73" s="82">
        <f t="shared" si="7"/>
        <v>95.072072268359392</v>
      </c>
      <c r="V73" s="83">
        <f t="shared" si="15"/>
        <v>25</v>
      </c>
      <c r="W73" s="84">
        <f t="shared" si="16"/>
        <v>50.040040149088554</v>
      </c>
      <c r="X73" s="84">
        <f t="shared" si="10"/>
        <v>60.040040149088554</v>
      </c>
      <c r="Y73" s="84">
        <f t="shared" si="17"/>
        <v>122.07207226835941</v>
      </c>
      <c r="Z73" s="84">
        <f t="shared" si="17"/>
        <v>140.07207226835942</v>
      </c>
      <c r="AA73" s="85">
        <f t="shared" si="2"/>
        <v>122.07207226835941</v>
      </c>
      <c r="AB73" s="86">
        <f t="shared" si="2"/>
        <v>140.07207226835942</v>
      </c>
      <c r="AC73" s="86">
        <f t="shared" si="12"/>
        <v>50.040040149088561</v>
      </c>
      <c r="AD73" s="86">
        <f t="shared" si="12"/>
        <v>60.040040149088568</v>
      </c>
      <c r="AE73" s="62" t="str">
        <f t="shared" si="27"/>
        <v/>
      </c>
      <c r="AF73" s="62" t="str">
        <f t="shared" si="13"/>
        <v/>
      </c>
      <c r="AG73" s="50">
        <v>2</v>
      </c>
      <c r="AH73" s="87" t="s">
        <v>227</v>
      </c>
      <c r="AN73" s="88">
        <v>32</v>
      </c>
      <c r="AO73" s="88">
        <v>42</v>
      </c>
    </row>
    <row r="74" spans="1:41" ht="15" customHeight="1" x14ac:dyDescent="0.25">
      <c r="D74" s="89"/>
      <c r="L74" s="90"/>
      <c r="M74" s="58"/>
      <c r="N74" s="58"/>
      <c r="O74" s="58"/>
      <c r="T74" s="91"/>
      <c r="U74" s="91"/>
      <c r="V74" s="92"/>
      <c r="W74" s="92"/>
      <c r="X74" s="92"/>
      <c r="Y74" s="92"/>
      <c r="Z74" s="92"/>
      <c r="AC74" s="93"/>
      <c r="AD74" s="93"/>
      <c r="AE74" s="62"/>
      <c r="AF74" s="62"/>
      <c r="AG74" s="50"/>
      <c r="AH74" s="51"/>
      <c r="AN74" s="88"/>
      <c r="AO74" s="88"/>
    </row>
    <row r="75" spans="1:41" ht="15" hidden="1" customHeight="1" x14ac:dyDescent="0.25">
      <c r="D75" s="89"/>
      <c r="L75" s="90"/>
      <c r="M75" s="58"/>
      <c r="N75" s="58"/>
      <c r="O75" s="58"/>
      <c r="T75" s="91"/>
      <c r="U75" s="91"/>
      <c r="V75" s="92"/>
      <c r="W75" s="92"/>
      <c r="X75" s="92"/>
      <c r="Y75" s="92"/>
      <c r="Z75" s="92"/>
      <c r="AC75" s="93"/>
      <c r="AD75" s="93"/>
      <c r="AE75" s="62"/>
      <c r="AF75" s="62"/>
      <c r="AG75" s="50"/>
      <c r="AH75" s="51"/>
      <c r="AN75" s="88"/>
      <c r="AO75" s="88"/>
    </row>
    <row r="76" spans="1:41" ht="15" hidden="1" customHeight="1" x14ac:dyDescent="0.25">
      <c r="C76" s="63" t="s">
        <v>232</v>
      </c>
      <c r="D76" s="54" t="s">
        <v>233</v>
      </c>
      <c r="F76" s="55" t="s">
        <v>175</v>
      </c>
      <c r="G76" s="55" t="s">
        <v>176</v>
      </c>
      <c r="H76" s="55" t="s">
        <v>177</v>
      </c>
      <c r="I76" s="55" t="s">
        <v>178</v>
      </c>
      <c r="J76" s="55" t="s">
        <v>179</v>
      </c>
      <c r="K76" s="56" t="s">
        <v>179</v>
      </c>
      <c r="L76" s="57" t="s">
        <v>179</v>
      </c>
      <c r="M76" s="65"/>
      <c r="N76" s="65"/>
      <c r="O76" s="65"/>
      <c r="P76" s="59" t="s">
        <v>180</v>
      </c>
      <c r="R76" s="59" t="str">
        <f t="shared" ref="R76:S87" si="28">P76</f>
        <v>Estimated running</v>
      </c>
      <c r="V76" s="60" t="s">
        <v>181</v>
      </c>
      <c r="Y76" s="61"/>
      <c r="AB76" s="33" t="str">
        <f>P76</f>
        <v>Estimated running</v>
      </c>
      <c r="AC76" s="93"/>
      <c r="AD76" s="93"/>
      <c r="AE76" s="62"/>
      <c r="AF76" s="62"/>
      <c r="AG76" s="50">
        <v>1</v>
      </c>
      <c r="AH76" s="51"/>
      <c r="AN76" s="88"/>
      <c r="AO76" s="88"/>
    </row>
    <row r="77" spans="1:41" ht="15" hidden="1" customHeight="1" x14ac:dyDescent="0.25">
      <c r="D77" s="89"/>
      <c r="F77" s="55"/>
      <c r="G77" s="55" t="s">
        <v>182</v>
      </c>
      <c r="H77" s="55"/>
      <c r="I77" s="55"/>
      <c r="J77" s="55" t="s">
        <v>183</v>
      </c>
      <c r="K77" s="56" t="s">
        <v>183</v>
      </c>
      <c r="L77" s="57" t="s">
        <v>183</v>
      </c>
      <c r="M77" s="65" t="s">
        <v>186</v>
      </c>
      <c r="N77" s="65" t="s">
        <v>210</v>
      </c>
      <c r="O77" s="65" t="s">
        <v>211</v>
      </c>
      <c r="P77" s="59" t="s">
        <v>187</v>
      </c>
      <c r="R77" s="59" t="str">
        <f t="shared" si="28"/>
        <v>temperature between:</v>
      </c>
      <c r="V77" s="66" t="s">
        <v>188</v>
      </c>
      <c r="Y77" s="61"/>
      <c r="AB77" s="33" t="str">
        <f>P77</f>
        <v>temperature between:</v>
      </c>
      <c r="AC77" s="93"/>
      <c r="AD77" s="93"/>
      <c r="AE77" s="62"/>
      <c r="AF77" s="62"/>
      <c r="AG77" s="50">
        <v>1</v>
      </c>
      <c r="AH77" s="51"/>
      <c r="AN77" s="88"/>
      <c r="AO77" s="88"/>
    </row>
    <row r="78" spans="1:41" ht="15" hidden="1" customHeight="1" x14ac:dyDescent="0.25">
      <c r="C78" s="67" t="s">
        <v>189</v>
      </c>
      <c r="D78" s="68" t="s">
        <v>189</v>
      </c>
      <c r="F78" s="55"/>
      <c r="G78" s="55" t="s">
        <v>190</v>
      </c>
      <c r="H78" s="55" t="s">
        <v>191</v>
      </c>
      <c r="I78" s="55" t="s">
        <v>192</v>
      </c>
      <c r="J78" s="55" t="s">
        <v>193</v>
      </c>
      <c r="K78" s="56" t="s">
        <v>194</v>
      </c>
      <c r="L78" s="57" t="s">
        <v>193</v>
      </c>
      <c r="M78" s="65" t="s">
        <v>212</v>
      </c>
      <c r="N78" s="65" t="s">
        <v>213</v>
      </c>
      <c r="O78" s="65" t="s">
        <v>214</v>
      </c>
      <c r="P78" s="29" t="s">
        <v>193</v>
      </c>
      <c r="Q78" s="29" t="s">
        <v>193</v>
      </c>
      <c r="R78" s="29" t="str">
        <f t="shared" si="28"/>
        <v>[°C]</v>
      </c>
      <c r="S78" s="29" t="str">
        <f t="shared" si="28"/>
        <v>[°C]</v>
      </c>
      <c r="T78" s="31" t="s">
        <v>198</v>
      </c>
      <c r="U78" s="31" t="s">
        <v>199</v>
      </c>
      <c r="V78" s="66" t="s">
        <v>200</v>
      </c>
      <c r="W78" s="60" t="s">
        <v>201</v>
      </c>
      <c r="X78" s="60" t="s">
        <v>202</v>
      </c>
      <c r="Y78" s="60" t="s">
        <v>203</v>
      </c>
      <c r="Z78" s="60" t="s">
        <v>204</v>
      </c>
      <c r="AA78" s="26" t="s">
        <v>194</v>
      </c>
      <c r="AB78" s="26" t="s">
        <v>194</v>
      </c>
      <c r="AC78" s="26" t="s">
        <v>193</v>
      </c>
      <c r="AD78" s="26" t="s">
        <v>193</v>
      </c>
      <c r="AE78" s="62"/>
      <c r="AF78" s="62"/>
      <c r="AG78" s="50">
        <v>1</v>
      </c>
      <c r="AH78" s="51"/>
      <c r="AN78" s="88"/>
      <c r="AO78" s="88"/>
    </row>
    <row r="79" spans="1:41" ht="15" hidden="1" customHeight="1" x14ac:dyDescent="0.25">
      <c r="A79" s="38" t="str">
        <f>CONCATENATE("XG"," ",D79)</f>
        <v>XG 350</v>
      </c>
      <c r="C79" s="70">
        <v>350</v>
      </c>
      <c r="D79" s="71">
        <v>350</v>
      </c>
      <c r="F79" s="72">
        <f>Calculator!$M$2</f>
        <v>10</v>
      </c>
      <c r="G79" s="73">
        <f>Fjäderkurva!$D$14</f>
        <v>10</v>
      </c>
      <c r="H79" s="73">
        <f>Fjäderkurva!$D$19</f>
        <v>150</v>
      </c>
      <c r="I79" s="73">
        <f>Calculator!$X$19</f>
        <v>20</v>
      </c>
      <c r="J79" s="74">
        <f>Calculator!$X$20</f>
        <v>20</v>
      </c>
      <c r="K79" s="97">
        <v>77</v>
      </c>
      <c r="L79" s="98">
        <f t="shared" ref="L79:L134" si="29">5/9*(K79-32)</f>
        <v>25</v>
      </c>
      <c r="M79" s="110">
        <f>-0.0000557409944506719*F79+0.012735192</f>
        <v>1.217778205549328E-2</v>
      </c>
      <c r="N79" s="111">
        <f>0.78*(H79/180)+0.22</f>
        <v>0.87</v>
      </c>
      <c r="O79" s="111">
        <f t="shared" ref="O79:O87" si="30">(G79/F79)^1.15</f>
        <v>1</v>
      </c>
      <c r="P79" s="80">
        <f t="shared" ref="P79:P87" si="31">F79*I79*M79*N79*O79+J79</f>
        <v>22.11893407765583</v>
      </c>
      <c r="Q79" s="80">
        <f t="shared" ref="Q79:Q87" si="32">P79+10</f>
        <v>32.11893407765583</v>
      </c>
      <c r="R79" s="81">
        <f t="shared" si="28"/>
        <v>22.11893407765583</v>
      </c>
      <c r="S79" s="81">
        <f t="shared" si="28"/>
        <v>32.11893407765583</v>
      </c>
      <c r="T79" s="82">
        <f t="shared" ref="T79:U134" si="33">9/5*R79+32</f>
        <v>71.8140813397805</v>
      </c>
      <c r="U79" s="82">
        <f t="shared" si="33"/>
        <v>89.8140813397805</v>
      </c>
      <c r="V79" s="83">
        <f t="shared" si="15"/>
        <v>25</v>
      </c>
      <c r="W79" s="84">
        <f t="shared" si="16"/>
        <v>47.11893407765583</v>
      </c>
      <c r="X79" s="84">
        <f t="shared" ref="X79:X134" si="34">W79+10</f>
        <v>57.11893407765583</v>
      </c>
      <c r="Y79" s="84">
        <f t="shared" si="17"/>
        <v>116.8140813397805</v>
      </c>
      <c r="Z79" s="84">
        <f t="shared" si="17"/>
        <v>134.8140813397805</v>
      </c>
      <c r="AA79" s="85">
        <f t="shared" ref="AA79:AB134" si="35">Y79</f>
        <v>116.8140813397805</v>
      </c>
      <c r="AB79" s="86">
        <f t="shared" si="35"/>
        <v>134.8140813397805</v>
      </c>
      <c r="AC79" s="86">
        <f t="shared" ref="AC79:AD134" si="36">5/9*(AA79-32)</f>
        <v>47.118934077655837</v>
      </c>
      <c r="AD79" s="86">
        <f t="shared" si="36"/>
        <v>57.118934077655837</v>
      </c>
      <c r="AE79" s="62" t="str">
        <f>IF(Q79&gt;80,"High temp. Please contact your distributor for advice",IF(H79&gt;180,"Too high charging pressure!",""))</f>
        <v/>
      </c>
      <c r="AF79" s="62" t="str">
        <f t="shared" ref="AF79:AF99" si="37">AE79</f>
        <v/>
      </c>
      <c r="AG79" s="50">
        <v>1</v>
      </c>
      <c r="AH79" s="87" t="s">
        <v>234</v>
      </c>
      <c r="AN79" s="88">
        <v>31</v>
      </c>
      <c r="AO79" s="88">
        <v>41</v>
      </c>
    </row>
    <row r="80" spans="1:41" ht="15" hidden="1" customHeight="1" x14ac:dyDescent="0.25">
      <c r="A80" s="38" t="str">
        <f t="shared" ref="A80:A86" si="38">CONCATENATE("XG"," ",D80)</f>
        <v>XG 500</v>
      </c>
      <c r="C80" s="70">
        <v>500</v>
      </c>
      <c r="D80" s="71">
        <v>500</v>
      </c>
      <c r="F80" s="72">
        <f>Calculator!$M$2</f>
        <v>10</v>
      </c>
      <c r="G80" s="73">
        <f>Fjäderkurva!$D$14</f>
        <v>10</v>
      </c>
      <c r="H80" s="73">
        <f>Fjäderkurva!$D$19</f>
        <v>150</v>
      </c>
      <c r="I80" s="73">
        <f>Calculator!$X$19</f>
        <v>20</v>
      </c>
      <c r="J80" s="74">
        <f>Calculator!$X$20</f>
        <v>20</v>
      </c>
      <c r="K80" s="97">
        <v>77</v>
      </c>
      <c r="L80" s="98">
        <f t="shared" si="29"/>
        <v>25</v>
      </c>
      <c r="M80" s="110">
        <f>-0.0000286323189548996*F80+0.01030877</f>
        <v>1.0022446810451004E-2</v>
      </c>
      <c r="N80" s="111">
        <f>0.69*(H80/150)+0.31</f>
        <v>1</v>
      </c>
      <c r="O80" s="111">
        <f t="shared" si="30"/>
        <v>1</v>
      </c>
      <c r="P80" s="80">
        <f t="shared" si="31"/>
        <v>22.004489362090201</v>
      </c>
      <c r="Q80" s="80">
        <f t="shared" si="32"/>
        <v>32.004489362090197</v>
      </c>
      <c r="R80" s="81">
        <f t="shared" si="28"/>
        <v>22.004489362090201</v>
      </c>
      <c r="S80" s="81">
        <f t="shared" si="28"/>
        <v>32.004489362090197</v>
      </c>
      <c r="T80" s="82">
        <f t="shared" si="33"/>
        <v>71.608080851762367</v>
      </c>
      <c r="U80" s="82">
        <f t="shared" si="33"/>
        <v>89.608080851762367</v>
      </c>
      <c r="V80" s="83">
        <f t="shared" si="15"/>
        <v>25</v>
      </c>
      <c r="W80" s="84">
        <f t="shared" si="16"/>
        <v>47.004489362090197</v>
      </c>
      <c r="X80" s="84">
        <f t="shared" si="34"/>
        <v>57.004489362090197</v>
      </c>
      <c r="Y80" s="84">
        <f t="shared" si="17"/>
        <v>116.60808085176235</v>
      </c>
      <c r="Z80" s="84">
        <f t="shared" si="17"/>
        <v>134.60808085176234</v>
      </c>
      <c r="AA80" s="85">
        <f t="shared" si="35"/>
        <v>116.60808085176235</v>
      </c>
      <c r="AB80" s="86">
        <f t="shared" si="35"/>
        <v>134.60808085176234</v>
      </c>
      <c r="AC80" s="86">
        <f t="shared" si="36"/>
        <v>47.004489362090197</v>
      </c>
      <c r="AD80" s="86">
        <f t="shared" si="36"/>
        <v>57.00448936209019</v>
      </c>
      <c r="AE80" s="62" t="str">
        <f t="shared" ref="AE80:AE87" si="39">IF(Q80&gt;80,"High temp. Please contact your distributor for advice",IF(H80&gt;150,"Too high charging pressure!",""))</f>
        <v/>
      </c>
      <c r="AF80" s="62" t="str">
        <f t="shared" si="37"/>
        <v/>
      </c>
      <c r="AG80" s="50">
        <v>1</v>
      </c>
      <c r="AH80" s="87" t="s">
        <v>235</v>
      </c>
      <c r="AN80" s="88">
        <v>32</v>
      </c>
      <c r="AO80" s="88">
        <v>42</v>
      </c>
    </row>
    <row r="81" spans="1:41" ht="15" hidden="1" customHeight="1" x14ac:dyDescent="0.25">
      <c r="A81" s="38" t="str">
        <f t="shared" si="38"/>
        <v>XG 750</v>
      </c>
      <c r="C81" s="70">
        <v>750</v>
      </c>
      <c r="D81" s="71">
        <v>750</v>
      </c>
      <c r="F81" s="72">
        <f>Calculator!$M$2</f>
        <v>10</v>
      </c>
      <c r="G81" s="73">
        <f>Fjäderkurva!$D$14</f>
        <v>10</v>
      </c>
      <c r="H81" s="73">
        <f>Fjäderkurva!$D$19</f>
        <v>150</v>
      </c>
      <c r="I81" s="73">
        <f>Calculator!$X$19</f>
        <v>20</v>
      </c>
      <c r="J81" s="74">
        <f>Calculator!$X$20</f>
        <v>20</v>
      </c>
      <c r="K81" s="97">
        <v>77</v>
      </c>
      <c r="L81" s="98">
        <f t="shared" si="29"/>
        <v>25</v>
      </c>
      <c r="M81" s="110">
        <f>-5.21759415768633E-06*F81+0.011064444</f>
        <v>1.1012268058423137E-2</v>
      </c>
      <c r="N81" s="111">
        <f>0.7*(H81/150)+0.3</f>
        <v>1</v>
      </c>
      <c r="O81" s="111">
        <f t="shared" si="30"/>
        <v>1</v>
      </c>
      <c r="P81" s="80">
        <f t="shared" si="31"/>
        <v>22.202453611684628</v>
      </c>
      <c r="Q81" s="80">
        <f t="shared" si="32"/>
        <v>32.202453611684632</v>
      </c>
      <c r="R81" s="81">
        <f t="shared" si="28"/>
        <v>22.202453611684628</v>
      </c>
      <c r="S81" s="81">
        <f t="shared" si="28"/>
        <v>32.202453611684632</v>
      </c>
      <c r="T81" s="82">
        <f t="shared" si="33"/>
        <v>71.964416501032332</v>
      </c>
      <c r="U81" s="82">
        <f t="shared" si="33"/>
        <v>89.964416501032332</v>
      </c>
      <c r="V81" s="83">
        <f t="shared" si="15"/>
        <v>25</v>
      </c>
      <c r="W81" s="84">
        <f t="shared" si="16"/>
        <v>47.202453611684632</v>
      </c>
      <c r="X81" s="84">
        <f t="shared" si="34"/>
        <v>57.202453611684632</v>
      </c>
      <c r="Y81" s="84">
        <f t="shared" si="17"/>
        <v>116.96441650103235</v>
      </c>
      <c r="Z81" s="84">
        <f t="shared" si="17"/>
        <v>134.96441650103236</v>
      </c>
      <c r="AA81" s="85">
        <f t="shared" si="35"/>
        <v>116.96441650103235</v>
      </c>
      <c r="AB81" s="86">
        <f t="shared" si="35"/>
        <v>134.96441650103236</v>
      </c>
      <c r="AC81" s="86">
        <f t="shared" si="36"/>
        <v>47.202453611684639</v>
      </c>
      <c r="AD81" s="86">
        <f t="shared" si="36"/>
        <v>57.202453611684646</v>
      </c>
      <c r="AE81" s="62" t="str">
        <f t="shared" si="39"/>
        <v/>
      </c>
      <c r="AF81" s="62" t="str">
        <f t="shared" si="37"/>
        <v/>
      </c>
      <c r="AG81" s="50">
        <v>1</v>
      </c>
      <c r="AH81" s="87" t="s">
        <v>236</v>
      </c>
      <c r="AN81" s="88">
        <v>34</v>
      </c>
      <c r="AO81" s="88">
        <v>44</v>
      </c>
    </row>
    <row r="82" spans="1:41" ht="15" hidden="1" customHeight="1" x14ac:dyDescent="0.25">
      <c r="A82" s="38" t="str">
        <f t="shared" si="38"/>
        <v>XG 1000</v>
      </c>
      <c r="C82" s="70">
        <v>1000</v>
      </c>
      <c r="D82" s="71">
        <v>1000</v>
      </c>
      <c r="F82" s="72">
        <f>Calculator!$M$2</f>
        <v>10</v>
      </c>
      <c r="G82" s="73">
        <f>Fjäderkurva!$D$14</f>
        <v>10</v>
      </c>
      <c r="H82" s="73">
        <f>Fjäderkurva!$D$19</f>
        <v>150</v>
      </c>
      <c r="I82" s="73">
        <f>Calculator!$X$19</f>
        <v>20</v>
      </c>
      <c r="J82" s="74">
        <f>Calculator!$X$20</f>
        <v>20</v>
      </c>
      <c r="K82" s="97">
        <v>77</v>
      </c>
      <c r="L82" s="98">
        <f t="shared" si="29"/>
        <v>25</v>
      </c>
      <c r="M82" s="110">
        <f>-3.37582158982632E-06*F82+0.012213964</f>
        <v>1.2180205784101738E-2</v>
      </c>
      <c r="N82" s="111">
        <f>0.79*(H82/150)+0.21</f>
        <v>1</v>
      </c>
      <c r="O82" s="111">
        <f t="shared" si="30"/>
        <v>1</v>
      </c>
      <c r="P82" s="80">
        <f t="shared" si="31"/>
        <v>22.436041156820348</v>
      </c>
      <c r="Q82" s="80">
        <f t="shared" si="32"/>
        <v>32.436041156820352</v>
      </c>
      <c r="R82" s="81">
        <f t="shared" si="28"/>
        <v>22.436041156820348</v>
      </c>
      <c r="S82" s="81">
        <f t="shared" si="28"/>
        <v>32.436041156820352</v>
      </c>
      <c r="T82" s="82">
        <f t="shared" si="33"/>
        <v>72.384874082276625</v>
      </c>
      <c r="U82" s="82">
        <f t="shared" si="33"/>
        <v>90.384874082276639</v>
      </c>
      <c r="V82" s="83">
        <f t="shared" si="15"/>
        <v>25</v>
      </c>
      <c r="W82" s="84">
        <f t="shared" si="16"/>
        <v>47.436041156820352</v>
      </c>
      <c r="X82" s="84">
        <f t="shared" si="34"/>
        <v>57.436041156820352</v>
      </c>
      <c r="Y82" s="84">
        <f t="shared" si="17"/>
        <v>117.38487408227664</v>
      </c>
      <c r="Z82" s="84">
        <f t="shared" si="17"/>
        <v>135.38487408227664</v>
      </c>
      <c r="AA82" s="85">
        <f t="shared" si="35"/>
        <v>117.38487408227664</v>
      </c>
      <c r="AB82" s="86">
        <f t="shared" si="35"/>
        <v>135.38487408227664</v>
      </c>
      <c r="AC82" s="86">
        <f t="shared" si="36"/>
        <v>47.436041156820359</v>
      </c>
      <c r="AD82" s="86">
        <f t="shared" si="36"/>
        <v>57.436041156820359</v>
      </c>
      <c r="AE82" s="62" t="str">
        <f t="shared" si="39"/>
        <v/>
      </c>
      <c r="AF82" s="62" t="str">
        <f t="shared" si="37"/>
        <v/>
      </c>
      <c r="AG82" s="50">
        <v>1</v>
      </c>
      <c r="AH82" s="87" t="s">
        <v>237</v>
      </c>
      <c r="AN82" s="88">
        <v>36</v>
      </c>
      <c r="AO82" s="88">
        <v>46</v>
      </c>
    </row>
    <row r="83" spans="1:41" ht="15" hidden="1" customHeight="1" x14ac:dyDescent="0.25">
      <c r="A83" s="38" t="str">
        <f t="shared" si="38"/>
        <v>XG 1500</v>
      </c>
      <c r="C83" s="70">
        <v>1500</v>
      </c>
      <c r="D83" s="71">
        <v>1500</v>
      </c>
      <c r="F83" s="72">
        <f>Calculator!$M$2</f>
        <v>10</v>
      </c>
      <c r="G83" s="73">
        <f>Fjäderkurva!$D$14</f>
        <v>10</v>
      </c>
      <c r="H83" s="73">
        <f>Fjäderkurva!$D$19</f>
        <v>150</v>
      </c>
      <c r="I83" s="73">
        <f>Calculator!$X$19</f>
        <v>20</v>
      </c>
      <c r="J83" s="74">
        <f>Calculator!$X$20</f>
        <v>20</v>
      </c>
      <c r="K83" s="97">
        <v>77</v>
      </c>
      <c r="L83" s="98">
        <f t="shared" si="29"/>
        <v>25</v>
      </c>
      <c r="M83" s="110">
        <f>-0.0000115814333465656*F83+0.0161709</f>
        <v>1.6055085666534342E-2</v>
      </c>
      <c r="N83" s="111">
        <f>0.84*(H83/150)+0.16</f>
        <v>1</v>
      </c>
      <c r="O83" s="111">
        <f t="shared" si="30"/>
        <v>1</v>
      </c>
      <c r="P83" s="80">
        <f t="shared" si="31"/>
        <v>23.211017133306868</v>
      </c>
      <c r="Q83" s="80">
        <f t="shared" si="32"/>
        <v>33.211017133306868</v>
      </c>
      <c r="R83" s="81">
        <f t="shared" si="28"/>
        <v>23.211017133306868</v>
      </c>
      <c r="S83" s="81">
        <f t="shared" si="28"/>
        <v>33.211017133306868</v>
      </c>
      <c r="T83" s="82">
        <f t="shared" si="33"/>
        <v>73.779830839952353</v>
      </c>
      <c r="U83" s="82">
        <f t="shared" si="33"/>
        <v>91.779830839952353</v>
      </c>
      <c r="V83" s="83">
        <f t="shared" si="15"/>
        <v>25</v>
      </c>
      <c r="W83" s="84">
        <f t="shared" si="16"/>
        <v>48.211017133306868</v>
      </c>
      <c r="X83" s="84">
        <f t="shared" si="34"/>
        <v>58.211017133306868</v>
      </c>
      <c r="Y83" s="84">
        <f t="shared" ref="Y83:Z144" si="40">9/5*W83+32</f>
        <v>118.77983083995237</v>
      </c>
      <c r="Z83" s="84">
        <f t="shared" si="40"/>
        <v>136.77983083995235</v>
      </c>
      <c r="AA83" s="85">
        <f t="shared" si="35"/>
        <v>118.77983083995237</v>
      </c>
      <c r="AB83" s="86">
        <f t="shared" si="35"/>
        <v>136.77983083995235</v>
      </c>
      <c r="AC83" s="86">
        <f t="shared" si="36"/>
        <v>48.211017133306875</v>
      </c>
      <c r="AD83" s="86">
        <f t="shared" si="36"/>
        <v>58.211017133306868</v>
      </c>
      <c r="AE83" s="62" t="str">
        <f t="shared" si="39"/>
        <v/>
      </c>
      <c r="AF83" s="62" t="str">
        <f t="shared" si="37"/>
        <v/>
      </c>
      <c r="AG83" s="50">
        <v>1</v>
      </c>
      <c r="AH83" s="87" t="s">
        <v>238</v>
      </c>
      <c r="AN83" s="88">
        <v>38</v>
      </c>
      <c r="AO83" s="88">
        <v>48</v>
      </c>
    </row>
    <row r="84" spans="1:41" ht="15" hidden="1" customHeight="1" x14ac:dyDescent="0.25">
      <c r="A84" s="38" t="str">
        <f t="shared" si="38"/>
        <v>XG 2400</v>
      </c>
      <c r="C84" s="70">
        <v>2400</v>
      </c>
      <c r="D84" s="71">
        <v>2400</v>
      </c>
      <c r="F84" s="72">
        <f>Calculator!$M$2</f>
        <v>10</v>
      </c>
      <c r="G84" s="73">
        <f>Fjäderkurva!$D$14</f>
        <v>10</v>
      </c>
      <c r="H84" s="73">
        <f>Fjäderkurva!$D$19</f>
        <v>150</v>
      </c>
      <c r="I84" s="73">
        <f>Calculator!$X$19</f>
        <v>20</v>
      </c>
      <c r="J84" s="74">
        <f>Calculator!$X$20</f>
        <v>20</v>
      </c>
      <c r="K84" s="97">
        <v>77</v>
      </c>
      <c r="L84" s="98">
        <f t="shared" si="29"/>
        <v>25</v>
      </c>
      <c r="M84" s="110">
        <v>1.5820000000000001E-2</v>
      </c>
      <c r="N84" s="111">
        <f>0.87*(H84/150)+0.13</f>
        <v>1</v>
      </c>
      <c r="O84" s="111">
        <f t="shared" si="30"/>
        <v>1</v>
      </c>
      <c r="P84" s="80">
        <f t="shared" si="31"/>
        <v>23.164000000000001</v>
      </c>
      <c r="Q84" s="80">
        <f t="shared" si="32"/>
        <v>33.164000000000001</v>
      </c>
      <c r="R84" s="81">
        <f t="shared" si="28"/>
        <v>23.164000000000001</v>
      </c>
      <c r="S84" s="81">
        <f t="shared" si="28"/>
        <v>33.164000000000001</v>
      </c>
      <c r="T84" s="82">
        <f t="shared" si="33"/>
        <v>73.6952</v>
      </c>
      <c r="U84" s="82">
        <f t="shared" si="33"/>
        <v>91.6952</v>
      </c>
      <c r="V84" s="83">
        <f t="shared" si="15"/>
        <v>25</v>
      </c>
      <c r="W84" s="84">
        <f t="shared" si="16"/>
        <v>48.164000000000001</v>
      </c>
      <c r="X84" s="84">
        <f t="shared" si="34"/>
        <v>58.164000000000001</v>
      </c>
      <c r="Y84" s="84">
        <f t="shared" si="40"/>
        <v>118.6952</v>
      </c>
      <c r="Z84" s="84">
        <f t="shared" si="40"/>
        <v>136.6952</v>
      </c>
      <c r="AA84" s="85">
        <f t="shared" si="35"/>
        <v>118.6952</v>
      </c>
      <c r="AB84" s="86">
        <f t="shared" si="35"/>
        <v>136.6952</v>
      </c>
      <c r="AC84" s="86">
        <f t="shared" si="36"/>
        <v>48.164000000000001</v>
      </c>
      <c r="AD84" s="86">
        <f t="shared" si="36"/>
        <v>58.164000000000001</v>
      </c>
      <c r="AE84" s="62" t="str">
        <f t="shared" si="39"/>
        <v/>
      </c>
      <c r="AF84" s="62" t="str">
        <f t="shared" si="37"/>
        <v/>
      </c>
      <c r="AG84" s="50">
        <v>1</v>
      </c>
      <c r="AH84" s="87" t="s">
        <v>239</v>
      </c>
      <c r="AN84" s="88">
        <v>39</v>
      </c>
      <c r="AO84" s="88">
        <v>49</v>
      </c>
    </row>
    <row r="85" spans="1:41" ht="15" hidden="1" customHeight="1" x14ac:dyDescent="0.25">
      <c r="A85" s="38" t="str">
        <f t="shared" si="38"/>
        <v>XG 4200</v>
      </c>
      <c r="C85" s="70">
        <v>4200</v>
      </c>
      <c r="D85" s="71">
        <v>4200</v>
      </c>
      <c r="E85" s="64"/>
      <c r="F85" s="72">
        <f>Calculator!$M$2</f>
        <v>10</v>
      </c>
      <c r="G85" s="73">
        <f>Fjäderkurva!$D$14</f>
        <v>10</v>
      </c>
      <c r="H85" s="73">
        <f>Fjäderkurva!$D$19</f>
        <v>150</v>
      </c>
      <c r="I85" s="73">
        <f>Calculator!$X$19</f>
        <v>20</v>
      </c>
      <c r="J85" s="74">
        <f>Calculator!$X$20</f>
        <v>20</v>
      </c>
      <c r="K85" s="97">
        <v>77</v>
      </c>
      <c r="L85" s="98">
        <f t="shared" si="29"/>
        <v>25</v>
      </c>
      <c r="M85" s="110">
        <v>1.3690000000000001E-2</v>
      </c>
      <c r="N85" s="111">
        <f>0.8*(H85/150)+0.2</f>
        <v>1</v>
      </c>
      <c r="O85" s="111">
        <f t="shared" si="30"/>
        <v>1</v>
      </c>
      <c r="P85" s="80">
        <f t="shared" si="31"/>
        <v>22.738</v>
      </c>
      <c r="Q85" s="80">
        <f t="shared" si="32"/>
        <v>32.738</v>
      </c>
      <c r="R85" s="81">
        <f t="shared" si="28"/>
        <v>22.738</v>
      </c>
      <c r="S85" s="81">
        <f t="shared" si="28"/>
        <v>32.738</v>
      </c>
      <c r="T85" s="82">
        <f t="shared" si="33"/>
        <v>72.928400000000011</v>
      </c>
      <c r="U85" s="82">
        <f t="shared" si="33"/>
        <v>90.928400000000011</v>
      </c>
      <c r="V85" s="83">
        <f t="shared" si="15"/>
        <v>25</v>
      </c>
      <c r="W85" s="84">
        <f t="shared" si="16"/>
        <v>47.738</v>
      </c>
      <c r="X85" s="84">
        <f t="shared" si="34"/>
        <v>57.738</v>
      </c>
      <c r="Y85" s="84">
        <f t="shared" si="40"/>
        <v>117.9284</v>
      </c>
      <c r="Z85" s="84">
        <f t="shared" si="40"/>
        <v>135.92840000000001</v>
      </c>
      <c r="AA85" s="85">
        <f t="shared" si="35"/>
        <v>117.9284</v>
      </c>
      <c r="AB85" s="86">
        <f t="shared" si="35"/>
        <v>135.92840000000001</v>
      </c>
      <c r="AC85" s="86">
        <f t="shared" si="36"/>
        <v>47.738</v>
      </c>
      <c r="AD85" s="86">
        <f t="shared" si="36"/>
        <v>57.738000000000007</v>
      </c>
      <c r="AE85" s="62" t="str">
        <f t="shared" si="39"/>
        <v/>
      </c>
      <c r="AF85" s="62" t="str">
        <f t="shared" si="37"/>
        <v/>
      </c>
      <c r="AG85" s="50">
        <v>1</v>
      </c>
      <c r="AH85" s="87" t="s">
        <v>240</v>
      </c>
      <c r="AN85" s="88">
        <v>37</v>
      </c>
      <c r="AO85" s="88">
        <v>47</v>
      </c>
    </row>
    <row r="86" spans="1:41" ht="15" hidden="1" customHeight="1" x14ac:dyDescent="0.25">
      <c r="A86" s="38" t="str">
        <f t="shared" si="38"/>
        <v>XG 6600</v>
      </c>
      <c r="C86" s="70">
        <v>6600</v>
      </c>
      <c r="D86" s="71">
        <v>6600</v>
      </c>
      <c r="E86" s="64"/>
      <c r="F86" s="72">
        <f>Calculator!$M$2</f>
        <v>10</v>
      </c>
      <c r="G86" s="73">
        <f>Fjäderkurva!$D$14</f>
        <v>10</v>
      </c>
      <c r="H86" s="73">
        <f>Fjäderkurva!$D$19</f>
        <v>150</v>
      </c>
      <c r="I86" s="73">
        <f>Calculator!$X$19</f>
        <v>20</v>
      </c>
      <c r="J86" s="74">
        <f>Calculator!$X$20</f>
        <v>20</v>
      </c>
      <c r="K86" s="97">
        <v>77</v>
      </c>
      <c r="L86" s="98">
        <f t="shared" si="29"/>
        <v>25</v>
      </c>
      <c r="M86" s="110">
        <v>1.3390000000000001E-2</v>
      </c>
      <c r="N86" s="111">
        <f>0.74*(H86/150)+0.26</f>
        <v>1</v>
      </c>
      <c r="O86" s="111">
        <f t="shared" si="30"/>
        <v>1</v>
      </c>
      <c r="P86" s="80">
        <f t="shared" si="31"/>
        <v>22.678000000000001</v>
      </c>
      <c r="Q86" s="80">
        <f t="shared" si="32"/>
        <v>32.677999999999997</v>
      </c>
      <c r="R86" s="81">
        <f t="shared" si="28"/>
        <v>22.678000000000001</v>
      </c>
      <c r="S86" s="81">
        <f t="shared" si="28"/>
        <v>32.677999999999997</v>
      </c>
      <c r="T86" s="82">
        <f t="shared" si="33"/>
        <v>72.820400000000006</v>
      </c>
      <c r="U86" s="82">
        <f t="shared" si="33"/>
        <v>90.820400000000006</v>
      </c>
      <c r="V86" s="83">
        <f t="shared" si="15"/>
        <v>25</v>
      </c>
      <c r="W86" s="84">
        <f t="shared" si="16"/>
        <v>47.677999999999997</v>
      </c>
      <c r="X86" s="84">
        <f t="shared" si="34"/>
        <v>57.677999999999997</v>
      </c>
      <c r="Y86" s="84">
        <f t="shared" si="40"/>
        <v>117.82039999999999</v>
      </c>
      <c r="Z86" s="84">
        <f t="shared" si="40"/>
        <v>135.82040000000001</v>
      </c>
      <c r="AA86" s="85">
        <f t="shared" si="35"/>
        <v>117.82039999999999</v>
      </c>
      <c r="AB86" s="86">
        <f t="shared" si="35"/>
        <v>135.82040000000001</v>
      </c>
      <c r="AC86" s="86">
        <f t="shared" si="36"/>
        <v>47.677999999999997</v>
      </c>
      <c r="AD86" s="86">
        <f t="shared" si="36"/>
        <v>57.678000000000004</v>
      </c>
      <c r="AE86" s="62" t="str">
        <f t="shared" si="39"/>
        <v/>
      </c>
      <c r="AF86" s="62" t="str">
        <f t="shared" si="37"/>
        <v/>
      </c>
      <c r="AG86" s="50">
        <v>1</v>
      </c>
      <c r="AH86" s="87" t="s">
        <v>241</v>
      </c>
      <c r="AN86" s="88">
        <v>37</v>
      </c>
      <c r="AO86" s="88">
        <v>47</v>
      </c>
    </row>
    <row r="87" spans="1:41" ht="15" hidden="1" customHeight="1" x14ac:dyDescent="0.25">
      <c r="C87" s="112">
        <v>9500</v>
      </c>
      <c r="D87" s="113" t="s">
        <v>242</v>
      </c>
      <c r="E87" s="64"/>
      <c r="F87" s="72">
        <f>Calculator!$M$2</f>
        <v>10</v>
      </c>
      <c r="G87" s="73">
        <f>Fjäderkurva!$D$14</f>
        <v>10</v>
      </c>
      <c r="H87" s="73">
        <f>Fjäderkurva!$D$19</f>
        <v>150</v>
      </c>
      <c r="I87" s="73">
        <f>Calculator!$X$19</f>
        <v>20</v>
      </c>
      <c r="J87" s="74">
        <f>Calculator!$X$20</f>
        <v>20</v>
      </c>
      <c r="K87" s="97">
        <v>77</v>
      </c>
      <c r="L87" s="98">
        <f t="shared" si="29"/>
        <v>25</v>
      </c>
      <c r="M87" s="110">
        <f>-0.0000191040326040326*F87+0.011165147</f>
        <v>1.0974106673959674E-2</v>
      </c>
      <c r="N87" s="111">
        <f>0.77*(H87/150)+0.23</f>
        <v>1</v>
      </c>
      <c r="O87" s="111">
        <f t="shared" si="30"/>
        <v>1</v>
      </c>
      <c r="P87" s="80">
        <f t="shared" si="31"/>
        <v>22.194821334791936</v>
      </c>
      <c r="Q87" s="80">
        <f t="shared" si="32"/>
        <v>32.194821334791939</v>
      </c>
      <c r="R87" s="81">
        <f t="shared" si="28"/>
        <v>22.194821334791936</v>
      </c>
      <c r="S87" s="81">
        <f t="shared" si="28"/>
        <v>32.194821334791939</v>
      </c>
      <c r="T87" s="82">
        <f t="shared" si="33"/>
        <v>71.950678402625485</v>
      </c>
      <c r="U87" s="82">
        <f t="shared" si="33"/>
        <v>89.950678402625499</v>
      </c>
      <c r="V87" s="83">
        <f t="shared" si="15"/>
        <v>25</v>
      </c>
      <c r="W87" s="84">
        <f t="shared" si="16"/>
        <v>47.194821334791939</v>
      </c>
      <c r="X87" s="84">
        <f t="shared" si="34"/>
        <v>57.194821334791939</v>
      </c>
      <c r="Y87" s="84">
        <f t="shared" si="40"/>
        <v>116.9506784026255</v>
      </c>
      <c r="Z87" s="84">
        <f t="shared" si="40"/>
        <v>134.9506784026255</v>
      </c>
      <c r="AA87" s="85">
        <f t="shared" si="35"/>
        <v>116.9506784026255</v>
      </c>
      <c r="AB87" s="86">
        <f t="shared" si="35"/>
        <v>134.9506784026255</v>
      </c>
      <c r="AC87" s="86">
        <f t="shared" si="36"/>
        <v>47.194821334791946</v>
      </c>
      <c r="AD87" s="86">
        <f t="shared" si="36"/>
        <v>57.194821334791946</v>
      </c>
      <c r="AE87" s="62" t="str">
        <f t="shared" si="39"/>
        <v/>
      </c>
      <c r="AF87" s="62" t="str">
        <f t="shared" si="37"/>
        <v/>
      </c>
      <c r="AG87" s="50">
        <v>3</v>
      </c>
      <c r="AH87" s="87" t="s">
        <v>243</v>
      </c>
      <c r="AN87" s="88">
        <v>33</v>
      </c>
      <c r="AO87" s="88">
        <v>43</v>
      </c>
    </row>
    <row r="88" spans="1:41" ht="15" hidden="1" customHeight="1" x14ac:dyDescent="0.25">
      <c r="C88" s="112"/>
      <c r="D88" s="113"/>
      <c r="E88" s="64"/>
      <c r="F88" s="36"/>
      <c r="G88" s="114"/>
      <c r="H88" s="36"/>
      <c r="I88" s="36"/>
      <c r="J88" s="36"/>
      <c r="K88" s="115"/>
      <c r="L88" s="90"/>
      <c r="M88" s="116"/>
      <c r="N88" s="116"/>
      <c r="O88" s="116"/>
      <c r="P88" s="117"/>
      <c r="Q88" s="117"/>
      <c r="R88" s="90"/>
      <c r="S88" s="90"/>
      <c r="T88" s="91"/>
      <c r="U88" s="91"/>
      <c r="V88" s="92"/>
      <c r="W88" s="92"/>
      <c r="X88" s="92"/>
      <c r="Y88" s="92"/>
      <c r="Z88" s="92"/>
      <c r="AA88" s="93"/>
      <c r="AB88" s="93"/>
      <c r="AC88" s="93"/>
      <c r="AD88" s="93"/>
      <c r="AE88" s="62"/>
      <c r="AF88" s="62"/>
      <c r="AH88" s="118"/>
      <c r="AN88" s="88"/>
      <c r="AO88" s="88"/>
    </row>
    <row r="89" spans="1:41" ht="15" hidden="1" customHeight="1" x14ac:dyDescent="0.25">
      <c r="D89" s="71"/>
      <c r="E89" s="64"/>
      <c r="L89" s="90"/>
      <c r="M89" s="58"/>
      <c r="N89" s="58"/>
      <c r="O89" s="58"/>
      <c r="T89" s="91"/>
      <c r="U89" s="91"/>
      <c r="V89" s="92"/>
      <c r="W89" s="92"/>
      <c r="X89" s="92"/>
      <c r="Y89" s="92"/>
      <c r="Z89" s="92"/>
      <c r="AC89" s="93"/>
      <c r="AD89" s="93"/>
      <c r="AE89" s="62"/>
      <c r="AF89" s="62"/>
      <c r="AG89" s="50"/>
      <c r="AH89" s="51"/>
      <c r="AN89" s="88"/>
      <c r="AO89" s="88"/>
    </row>
    <row r="90" spans="1:41" ht="15" hidden="1" customHeight="1" x14ac:dyDescent="0.25">
      <c r="C90" s="63" t="s">
        <v>244</v>
      </c>
      <c r="D90" s="54" t="s">
        <v>65</v>
      </c>
      <c r="F90" s="55" t="s">
        <v>175</v>
      </c>
      <c r="G90" s="55" t="s">
        <v>176</v>
      </c>
      <c r="H90" s="55" t="s">
        <v>177</v>
      </c>
      <c r="I90" s="55" t="s">
        <v>178</v>
      </c>
      <c r="J90" s="55" t="s">
        <v>179</v>
      </c>
      <c r="K90" s="56" t="s">
        <v>179</v>
      </c>
      <c r="L90" s="57" t="s">
        <v>179</v>
      </c>
      <c r="M90" s="65"/>
      <c r="N90" s="65"/>
      <c r="O90" s="65"/>
      <c r="P90" s="59" t="s">
        <v>180</v>
      </c>
      <c r="V90" s="60" t="s">
        <v>181</v>
      </c>
      <c r="Y90" s="61"/>
      <c r="AB90" s="33" t="str">
        <f>P90</f>
        <v>Estimated running</v>
      </c>
      <c r="AC90" s="93"/>
      <c r="AD90" s="93"/>
      <c r="AE90" s="62"/>
      <c r="AF90" s="62"/>
      <c r="AG90" s="50">
        <v>3</v>
      </c>
      <c r="AH90" s="51"/>
      <c r="AN90" s="88"/>
      <c r="AO90" s="88"/>
    </row>
    <row r="91" spans="1:41" ht="15" hidden="1" customHeight="1" x14ac:dyDescent="0.25">
      <c r="F91" s="55"/>
      <c r="G91" s="55" t="s">
        <v>182</v>
      </c>
      <c r="H91" s="55"/>
      <c r="I91" s="55"/>
      <c r="J91" s="55" t="s">
        <v>183</v>
      </c>
      <c r="K91" s="56" t="s">
        <v>183</v>
      </c>
      <c r="L91" s="57" t="s">
        <v>183</v>
      </c>
      <c r="M91" s="65"/>
      <c r="N91" s="65" t="s">
        <v>223</v>
      </c>
      <c r="O91" s="65"/>
      <c r="P91" s="59" t="s">
        <v>187</v>
      </c>
      <c r="V91" s="66" t="s">
        <v>188</v>
      </c>
      <c r="Y91" s="61"/>
      <c r="AB91" s="33" t="str">
        <f>P91</f>
        <v>temperature between:</v>
      </c>
      <c r="AC91" s="93"/>
      <c r="AD91" s="93"/>
      <c r="AE91" s="62"/>
      <c r="AF91" s="62"/>
      <c r="AG91" s="50">
        <v>3</v>
      </c>
      <c r="AH91" s="51"/>
      <c r="AN91" s="88"/>
      <c r="AO91" s="88"/>
    </row>
    <row r="92" spans="1:41" ht="15" hidden="1" customHeight="1" x14ac:dyDescent="0.25">
      <c r="C92" s="67" t="s">
        <v>189</v>
      </c>
      <c r="D92" s="68" t="s">
        <v>189</v>
      </c>
      <c r="F92" s="55"/>
      <c r="G92" s="55" t="s">
        <v>190</v>
      </c>
      <c r="H92" s="55" t="s">
        <v>191</v>
      </c>
      <c r="I92" s="55" t="s">
        <v>192</v>
      </c>
      <c r="J92" s="55" t="s">
        <v>193</v>
      </c>
      <c r="K92" s="56" t="s">
        <v>194</v>
      </c>
      <c r="L92" s="57" t="s">
        <v>193</v>
      </c>
      <c r="M92" s="65" t="s">
        <v>224</v>
      </c>
      <c r="N92" s="65" t="s">
        <v>225</v>
      </c>
      <c r="O92" s="65" t="s">
        <v>226</v>
      </c>
      <c r="P92" s="55" t="s">
        <v>193</v>
      </c>
      <c r="Q92" s="55" t="s">
        <v>193</v>
      </c>
      <c r="R92" s="55"/>
      <c r="S92" s="55"/>
      <c r="T92" s="31" t="s">
        <v>198</v>
      </c>
      <c r="U92" s="31" t="s">
        <v>199</v>
      </c>
      <c r="V92" s="66" t="s">
        <v>200</v>
      </c>
      <c r="W92" s="60" t="s">
        <v>201</v>
      </c>
      <c r="X92" s="60" t="s">
        <v>202</v>
      </c>
      <c r="Y92" s="60" t="s">
        <v>203</v>
      </c>
      <c r="Z92" s="60" t="s">
        <v>204</v>
      </c>
      <c r="AA92" s="26" t="s">
        <v>194</v>
      </c>
      <c r="AB92" s="26" t="s">
        <v>194</v>
      </c>
      <c r="AC92" s="26" t="s">
        <v>193</v>
      </c>
      <c r="AD92" s="26" t="s">
        <v>193</v>
      </c>
      <c r="AE92" s="62"/>
      <c r="AF92" s="62"/>
      <c r="AG92" s="50">
        <v>3</v>
      </c>
      <c r="AH92" s="51"/>
      <c r="AN92" s="88"/>
      <c r="AO92" s="88"/>
    </row>
    <row r="93" spans="1:41" ht="15" hidden="1" customHeight="1" x14ac:dyDescent="0.25">
      <c r="A93" s="38" t="s">
        <v>65</v>
      </c>
      <c r="C93" s="96" t="s">
        <v>244</v>
      </c>
      <c r="D93" s="71" t="s">
        <v>65</v>
      </c>
      <c r="E93" s="64"/>
      <c r="F93" s="72">
        <f>Calculator!$M$2</f>
        <v>10</v>
      </c>
      <c r="G93" s="73">
        <f>Fjäderkurva!$D$14</f>
        <v>10</v>
      </c>
      <c r="H93" s="73">
        <f>Fjäderkurva!$D$19</f>
        <v>150</v>
      </c>
      <c r="I93" s="73">
        <f>Calculator!$X$19</f>
        <v>20</v>
      </c>
      <c r="J93" s="74">
        <f>Calculator!$X$20</f>
        <v>20</v>
      </c>
      <c r="K93" s="97">
        <v>77</v>
      </c>
      <c r="L93" s="98">
        <f t="shared" si="29"/>
        <v>25</v>
      </c>
      <c r="M93" s="119">
        <f>0*F93^2+0.0773842904727491*F93+1.38869038428296</f>
        <v>2.1625332890104509</v>
      </c>
      <c r="N93" s="120">
        <f>(0*H93^2+0.0218685433000524*H93+3.25496045048892)*(0.00155475011645089*I93^2-0.0694414388077009*I93+3.14993259505957)</f>
        <v>15.573506818004473</v>
      </c>
      <c r="O93" s="120">
        <f>0.0860769264525189*(100*G93/F93)-0.119238195541514</f>
        <v>8.4884544497103747</v>
      </c>
      <c r="P93" s="80">
        <f>((M93*N93*O93)*0.00491291957951706-0.116151420334139)+J93</f>
        <v>21.288334844904281</v>
      </c>
      <c r="Q93" s="80">
        <f>P93+10</f>
        <v>31.288334844904281</v>
      </c>
      <c r="R93" s="81">
        <f>P93</f>
        <v>21.288334844904281</v>
      </c>
      <c r="S93" s="81">
        <f>Q93</f>
        <v>31.288334844904281</v>
      </c>
      <c r="T93" s="82">
        <f t="shared" si="33"/>
        <v>70.319002720827712</v>
      </c>
      <c r="U93" s="82">
        <f t="shared" si="33"/>
        <v>88.319002720827712</v>
      </c>
      <c r="V93" s="83">
        <f t="shared" ref="V93:V144" si="41">5/9*(K93-32)</f>
        <v>25</v>
      </c>
      <c r="W93" s="84">
        <f t="shared" ref="W93:W144" si="42">P93+V93</f>
        <v>46.288334844904284</v>
      </c>
      <c r="X93" s="84">
        <f t="shared" si="34"/>
        <v>56.288334844904284</v>
      </c>
      <c r="Y93" s="84">
        <f t="shared" si="40"/>
        <v>115.31900272082771</v>
      </c>
      <c r="Z93" s="84">
        <f t="shared" si="40"/>
        <v>133.31900272082771</v>
      </c>
      <c r="AA93" s="85">
        <f t="shared" si="35"/>
        <v>115.31900272082771</v>
      </c>
      <c r="AB93" s="86">
        <f t="shared" si="35"/>
        <v>133.31900272082771</v>
      </c>
      <c r="AC93" s="86">
        <f t="shared" si="36"/>
        <v>46.288334844904284</v>
      </c>
      <c r="AD93" s="86">
        <f t="shared" si="36"/>
        <v>56.288334844904284</v>
      </c>
      <c r="AE93" s="62" t="str">
        <f>IF(Q93&gt;80,"High temp. Please contact your distributor for advice",IF(H93&gt;180,"Too high charging pressure!",""))</f>
        <v/>
      </c>
      <c r="AF93" s="62" t="str">
        <f t="shared" si="37"/>
        <v/>
      </c>
      <c r="AG93" s="50">
        <v>3</v>
      </c>
      <c r="AH93" s="87" t="s">
        <v>227</v>
      </c>
      <c r="AN93" s="88">
        <v>28</v>
      </c>
      <c r="AO93" s="88">
        <v>38</v>
      </c>
    </row>
    <row r="94" spans="1:41" ht="15" hidden="1" customHeight="1" x14ac:dyDescent="0.25">
      <c r="D94" s="71"/>
      <c r="E94" s="64"/>
      <c r="L94" s="90"/>
      <c r="M94" s="58"/>
      <c r="N94" s="58"/>
      <c r="O94" s="58"/>
      <c r="T94" s="91"/>
      <c r="U94" s="91"/>
      <c r="V94" s="92"/>
      <c r="W94" s="92"/>
      <c r="X94" s="92"/>
      <c r="Y94" s="92"/>
      <c r="Z94" s="92"/>
      <c r="AC94" s="93"/>
      <c r="AD94" s="93"/>
      <c r="AE94" s="62"/>
      <c r="AF94" s="62"/>
      <c r="AG94" s="50"/>
      <c r="AH94" s="51"/>
      <c r="AN94" s="88"/>
      <c r="AO94" s="88"/>
    </row>
    <row r="95" spans="1:41" ht="15" hidden="1" customHeight="1" x14ac:dyDescent="0.25">
      <c r="D95" s="71"/>
      <c r="E95" s="64"/>
      <c r="L95" s="90"/>
      <c r="M95" s="58"/>
      <c r="N95" s="58"/>
      <c r="O95" s="58"/>
      <c r="T95" s="91"/>
      <c r="U95" s="91"/>
      <c r="V95" s="92"/>
      <c r="W95" s="92"/>
      <c r="X95" s="92"/>
      <c r="Y95" s="92"/>
      <c r="Z95" s="92"/>
      <c r="AC95" s="93"/>
      <c r="AD95" s="93"/>
      <c r="AE95" s="62"/>
      <c r="AF95" s="62"/>
      <c r="AG95" s="50"/>
      <c r="AH95" s="51"/>
      <c r="AN95" s="88"/>
      <c r="AO95" s="88"/>
    </row>
    <row r="96" spans="1:41" ht="15" hidden="1" customHeight="1" x14ac:dyDescent="0.25">
      <c r="C96" s="63" t="s">
        <v>245</v>
      </c>
      <c r="D96" s="54" t="s">
        <v>66</v>
      </c>
      <c r="F96" s="55" t="s">
        <v>175</v>
      </c>
      <c r="G96" s="55" t="s">
        <v>176</v>
      </c>
      <c r="H96" s="55" t="s">
        <v>177</v>
      </c>
      <c r="I96" s="55" t="s">
        <v>178</v>
      </c>
      <c r="J96" s="55" t="s">
        <v>179</v>
      </c>
      <c r="K96" s="56" t="s">
        <v>179</v>
      </c>
      <c r="L96" s="57" t="s">
        <v>179</v>
      </c>
      <c r="M96" s="65"/>
      <c r="N96" s="65"/>
      <c r="O96" s="65"/>
      <c r="P96" s="59" t="s">
        <v>180</v>
      </c>
      <c r="V96" s="60" t="s">
        <v>181</v>
      </c>
      <c r="Y96" s="61"/>
      <c r="AB96" s="33" t="str">
        <f>P96</f>
        <v>Estimated running</v>
      </c>
      <c r="AC96" s="93"/>
      <c r="AD96" s="93"/>
      <c r="AE96" s="62"/>
      <c r="AF96" s="62"/>
      <c r="AG96" s="50">
        <v>3</v>
      </c>
      <c r="AH96" s="51"/>
      <c r="AN96" s="88"/>
      <c r="AO96" s="88"/>
    </row>
    <row r="97" spans="1:41" ht="15" hidden="1" customHeight="1" x14ac:dyDescent="0.25">
      <c r="D97" s="89"/>
      <c r="F97" s="55"/>
      <c r="G97" s="55" t="s">
        <v>182</v>
      </c>
      <c r="H97" s="55"/>
      <c r="I97" s="55"/>
      <c r="J97" s="55" t="s">
        <v>183</v>
      </c>
      <c r="K97" s="56" t="s">
        <v>183</v>
      </c>
      <c r="L97" s="57" t="s">
        <v>183</v>
      </c>
      <c r="M97" s="65"/>
      <c r="N97" s="65" t="s">
        <v>223</v>
      </c>
      <c r="O97" s="65"/>
      <c r="P97" s="59" t="s">
        <v>187</v>
      </c>
      <c r="V97" s="66" t="s">
        <v>188</v>
      </c>
      <c r="Y97" s="61"/>
      <c r="AB97" s="33" t="str">
        <f>P97</f>
        <v>temperature between:</v>
      </c>
      <c r="AC97" s="93"/>
      <c r="AD97" s="93"/>
      <c r="AE97" s="62"/>
      <c r="AF97" s="62"/>
      <c r="AG97" s="50">
        <v>3</v>
      </c>
      <c r="AH97" s="51"/>
      <c r="AN97" s="88"/>
      <c r="AO97" s="88"/>
    </row>
    <row r="98" spans="1:41" ht="15" hidden="1" customHeight="1" x14ac:dyDescent="0.25">
      <c r="C98" s="67" t="s">
        <v>189</v>
      </c>
      <c r="D98" s="68" t="s">
        <v>189</v>
      </c>
      <c r="F98" s="55"/>
      <c r="G98" s="55" t="s">
        <v>190</v>
      </c>
      <c r="H98" s="55" t="s">
        <v>191</v>
      </c>
      <c r="I98" s="55" t="s">
        <v>192</v>
      </c>
      <c r="J98" s="55" t="s">
        <v>193</v>
      </c>
      <c r="K98" s="56" t="s">
        <v>194</v>
      </c>
      <c r="L98" s="57" t="s">
        <v>193</v>
      </c>
      <c r="M98" s="65" t="s">
        <v>224</v>
      </c>
      <c r="N98" s="65" t="s">
        <v>225</v>
      </c>
      <c r="O98" s="65" t="s">
        <v>226</v>
      </c>
      <c r="P98" s="55" t="s">
        <v>193</v>
      </c>
      <c r="Q98" s="55" t="s">
        <v>193</v>
      </c>
      <c r="R98" s="55"/>
      <c r="S98" s="55"/>
      <c r="T98" s="31" t="s">
        <v>198</v>
      </c>
      <c r="U98" s="31" t="s">
        <v>199</v>
      </c>
      <c r="V98" s="66" t="s">
        <v>200</v>
      </c>
      <c r="W98" s="60" t="s">
        <v>201</v>
      </c>
      <c r="X98" s="60" t="s">
        <v>202</v>
      </c>
      <c r="Y98" s="60" t="s">
        <v>203</v>
      </c>
      <c r="Z98" s="60" t="s">
        <v>204</v>
      </c>
      <c r="AA98" s="26" t="s">
        <v>194</v>
      </c>
      <c r="AB98" s="26" t="s">
        <v>194</v>
      </c>
      <c r="AC98" s="26" t="s">
        <v>193</v>
      </c>
      <c r="AD98" s="26" t="s">
        <v>193</v>
      </c>
      <c r="AE98" s="62"/>
      <c r="AF98" s="62"/>
      <c r="AG98" s="50">
        <v>3</v>
      </c>
      <c r="AH98" s="51"/>
      <c r="AN98" s="88"/>
      <c r="AO98" s="88"/>
    </row>
    <row r="99" spans="1:41" ht="15" hidden="1" customHeight="1" x14ac:dyDescent="0.25">
      <c r="A99" s="38" t="s">
        <v>66</v>
      </c>
      <c r="C99" s="96" t="s">
        <v>245</v>
      </c>
      <c r="D99" s="71" t="s">
        <v>66</v>
      </c>
      <c r="E99" s="64"/>
      <c r="F99" s="72">
        <f>Calculator!$M$2</f>
        <v>10</v>
      </c>
      <c r="G99" s="73">
        <f>Fjäderkurva!$D$14</f>
        <v>10</v>
      </c>
      <c r="H99" s="73">
        <f>Fjäderkurva!$D$19</f>
        <v>150</v>
      </c>
      <c r="I99" s="73">
        <f>Calculator!$X$19</f>
        <v>20</v>
      </c>
      <c r="J99" s="74">
        <f>Calculator!$X$20</f>
        <v>20</v>
      </c>
      <c r="K99" s="97">
        <v>77</v>
      </c>
      <c r="L99" s="98">
        <f t="shared" si="29"/>
        <v>25</v>
      </c>
      <c r="M99" s="119">
        <f>0*F99^2+0.101700563349931*F99+1.05952116662376</f>
        <v>2.0765268001230703</v>
      </c>
      <c r="N99" s="120">
        <f>(0*H99^2+0.025631766517952*H99+3.91514433290844)*(0.000827721825636666*I99^2+0.00507305883455402*I99+3.03783330199938)</f>
        <v>26.929858974447502</v>
      </c>
      <c r="O99" s="120">
        <f>0.0859722222222222*(100*G99/F99)+1.01562037037037</f>
        <v>9.6128425925925889</v>
      </c>
      <c r="P99" s="80">
        <f>((M99*N99*O99)*0.0028145556115581+0.145637978570093)+J99</f>
        <v>21.658618318573478</v>
      </c>
      <c r="Q99" s="80">
        <f>P99+10</f>
        <v>31.658618318573478</v>
      </c>
      <c r="R99" s="81">
        <f>P99</f>
        <v>21.658618318573478</v>
      </c>
      <c r="S99" s="81">
        <f>Q99</f>
        <v>31.658618318573478</v>
      </c>
      <c r="T99" s="82">
        <f t="shared" si="33"/>
        <v>70.985512973432265</v>
      </c>
      <c r="U99" s="82">
        <f t="shared" si="33"/>
        <v>88.985512973432265</v>
      </c>
      <c r="V99" s="83">
        <f t="shared" si="41"/>
        <v>25</v>
      </c>
      <c r="W99" s="84">
        <f t="shared" si="42"/>
        <v>46.658618318573474</v>
      </c>
      <c r="X99" s="84">
        <f t="shared" si="34"/>
        <v>56.658618318573474</v>
      </c>
      <c r="Y99" s="84">
        <f t="shared" si="40"/>
        <v>115.98551297343225</v>
      </c>
      <c r="Z99" s="84">
        <f t="shared" si="40"/>
        <v>133.98551297343226</v>
      </c>
      <c r="AA99" s="85">
        <f t="shared" si="35"/>
        <v>115.98551297343225</v>
      </c>
      <c r="AB99" s="86">
        <f t="shared" si="35"/>
        <v>133.98551297343226</v>
      </c>
      <c r="AC99" s="86">
        <f t="shared" si="36"/>
        <v>46.658618318573474</v>
      </c>
      <c r="AD99" s="86">
        <f t="shared" si="36"/>
        <v>56.658618318573481</v>
      </c>
      <c r="AE99" s="62" t="str">
        <f>IF(Q99&gt;80,"High temp. Please contact your distributor for advice",IF(H99&gt;180,"Too high charging pressure!",""))</f>
        <v/>
      </c>
      <c r="AF99" s="62" t="str">
        <f t="shared" si="37"/>
        <v/>
      </c>
      <c r="AG99" s="50">
        <v>3</v>
      </c>
      <c r="AH99" s="87" t="s">
        <v>227</v>
      </c>
      <c r="AN99" s="88">
        <v>29</v>
      </c>
      <c r="AO99" s="88">
        <v>39</v>
      </c>
    </row>
    <row r="100" spans="1:41" ht="15" hidden="1" customHeight="1" x14ac:dyDescent="0.25">
      <c r="D100" s="71"/>
      <c r="E100" s="64"/>
      <c r="L100" s="90"/>
      <c r="M100" s="58"/>
      <c r="N100" s="58"/>
      <c r="O100" s="58"/>
      <c r="T100" s="91"/>
      <c r="U100" s="91"/>
      <c r="V100" s="92"/>
      <c r="W100" s="92"/>
      <c r="X100" s="92"/>
      <c r="Y100" s="92"/>
      <c r="Z100" s="92"/>
      <c r="AC100" s="93"/>
      <c r="AD100" s="93"/>
      <c r="AE100" s="62"/>
      <c r="AF100" s="62"/>
      <c r="AG100" s="50"/>
      <c r="AH100" s="51"/>
      <c r="AN100" s="88"/>
      <c r="AO100" s="88"/>
    </row>
    <row r="101" spans="1:41" ht="15" hidden="1" customHeight="1" x14ac:dyDescent="0.25">
      <c r="D101" s="71"/>
      <c r="E101" s="64"/>
      <c r="L101" s="90"/>
      <c r="M101" s="58"/>
      <c r="N101" s="58"/>
      <c r="O101" s="58"/>
      <c r="T101" s="91"/>
      <c r="U101" s="91"/>
      <c r="V101" s="92"/>
      <c r="W101" s="92"/>
      <c r="X101" s="92"/>
      <c r="Y101" s="92"/>
      <c r="Z101" s="92"/>
      <c r="AC101" s="93"/>
      <c r="AD101" s="93"/>
      <c r="AE101" s="62"/>
      <c r="AF101" s="62"/>
      <c r="AG101" s="50"/>
      <c r="AH101" s="51"/>
      <c r="AN101" s="88"/>
      <c r="AO101" s="88"/>
    </row>
    <row r="102" spans="1:41" ht="15" hidden="1" customHeight="1" x14ac:dyDescent="0.25">
      <c r="C102" s="63" t="s">
        <v>246</v>
      </c>
      <c r="D102" s="54" t="s">
        <v>61</v>
      </c>
      <c r="F102" s="55" t="s">
        <v>175</v>
      </c>
      <c r="G102" s="55" t="s">
        <v>176</v>
      </c>
      <c r="H102" s="55" t="s">
        <v>177</v>
      </c>
      <c r="I102" s="55" t="s">
        <v>178</v>
      </c>
      <c r="J102" s="55" t="s">
        <v>179</v>
      </c>
      <c r="K102" s="56" t="s">
        <v>179</v>
      </c>
      <c r="L102" s="57" t="s">
        <v>179</v>
      </c>
      <c r="M102" s="65"/>
      <c r="N102" s="65"/>
      <c r="O102" s="65"/>
      <c r="P102" s="59" t="s">
        <v>180</v>
      </c>
      <c r="R102" s="121" t="str">
        <f>P102</f>
        <v>Estimated running</v>
      </c>
      <c r="V102" s="60" t="s">
        <v>181</v>
      </c>
      <c r="Y102" s="61"/>
      <c r="AB102" s="33" t="str">
        <f>P102</f>
        <v>Estimated running</v>
      </c>
      <c r="AC102" s="93"/>
      <c r="AD102" s="93"/>
      <c r="AE102" s="62"/>
      <c r="AF102" s="62"/>
      <c r="AG102" s="50">
        <v>2</v>
      </c>
      <c r="AH102" s="51"/>
      <c r="AN102" s="88"/>
      <c r="AO102" s="88"/>
    </row>
    <row r="103" spans="1:41" ht="15" hidden="1" customHeight="1" x14ac:dyDescent="0.25">
      <c r="D103" s="54"/>
      <c r="E103" s="64"/>
      <c r="F103" s="55"/>
      <c r="G103" s="55" t="s">
        <v>182</v>
      </c>
      <c r="H103" s="55"/>
      <c r="I103" s="55"/>
      <c r="J103" s="55" t="s">
        <v>183</v>
      </c>
      <c r="K103" s="56" t="s">
        <v>183</v>
      </c>
      <c r="L103" s="57" t="s">
        <v>183</v>
      </c>
      <c r="M103" s="65"/>
      <c r="N103" s="65" t="s">
        <v>223</v>
      </c>
      <c r="O103" s="65"/>
      <c r="P103" s="59" t="s">
        <v>187</v>
      </c>
      <c r="R103" s="59" t="str">
        <f>P103</f>
        <v>temperature between:</v>
      </c>
      <c r="V103" s="66" t="s">
        <v>188</v>
      </c>
      <c r="Y103" s="61"/>
      <c r="AB103" s="33" t="str">
        <f>P103</f>
        <v>temperature between:</v>
      </c>
      <c r="AC103" s="93"/>
      <c r="AD103" s="93"/>
      <c r="AE103" s="62"/>
      <c r="AF103" s="62"/>
      <c r="AG103" s="50">
        <v>2</v>
      </c>
      <c r="AH103" s="51"/>
      <c r="AN103" s="88"/>
      <c r="AO103" s="88"/>
    </row>
    <row r="104" spans="1:41" ht="15" hidden="1" customHeight="1" x14ac:dyDescent="0.25">
      <c r="C104" s="67" t="s">
        <v>189</v>
      </c>
      <c r="D104" s="68" t="s">
        <v>189</v>
      </c>
      <c r="E104" s="69"/>
      <c r="F104" s="55"/>
      <c r="G104" s="55" t="s">
        <v>190</v>
      </c>
      <c r="H104" s="55" t="s">
        <v>191</v>
      </c>
      <c r="I104" s="55" t="s">
        <v>192</v>
      </c>
      <c r="J104" s="55" t="s">
        <v>193</v>
      </c>
      <c r="K104" s="56" t="s">
        <v>194</v>
      </c>
      <c r="L104" s="57" t="s">
        <v>193</v>
      </c>
      <c r="M104" s="65" t="s">
        <v>224</v>
      </c>
      <c r="N104" s="65" t="s">
        <v>225</v>
      </c>
      <c r="O104" s="65" t="s">
        <v>226</v>
      </c>
      <c r="P104" s="29" t="s">
        <v>193</v>
      </c>
      <c r="Q104" s="29" t="s">
        <v>193</v>
      </c>
      <c r="R104" s="29" t="str">
        <f>P104</f>
        <v>[°C]</v>
      </c>
      <c r="S104" s="29" t="str">
        <f>Q104</f>
        <v>[°C]</v>
      </c>
      <c r="T104" s="31" t="s">
        <v>198</v>
      </c>
      <c r="U104" s="31" t="s">
        <v>199</v>
      </c>
      <c r="V104" s="66" t="s">
        <v>200</v>
      </c>
      <c r="W104" s="60" t="s">
        <v>201</v>
      </c>
      <c r="X104" s="60" t="s">
        <v>202</v>
      </c>
      <c r="Y104" s="60" t="s">
        <v>203</v>
      </c>
      <c r="Z104" s="60" t="s">
        <v>204</v>
      </c>
      <c r="AA104" s="26" t="s">
        <v>194</v>
      </c>
      <c r="AB104" s="26" t="s">
        <v>194</v>
      </c>
      <c r="AC104" s="26" t="s">
        <v>193</v>
      </c>
      <c r="AD104" s="26" t="s">
        <v>193</v>
      </c>
      <c r="AE104" s="62"/>
      <c r="AF104" s="62"/>
      <c r="AG104" s="50">
        <v>2</v>
      </c>
      <c r="AH104" s="51"/>
      <c r="AN104" s="88"/>
      <c r="AO104" s="88"/>
    </row>
    <row r="105" spans="1:41" ht="15" hidden="1" customHeight="1" x14ac:dyDescent="0.25">
      <c r="A105" s="38" t="s">
        <v>61</v>
      </c>
      <c r="C105" s="96" t="s">
        <v>246</v>
      </c>
      <c r="D105" s="71" t="s">
        <v>61</v>
      </c>
      <c r="E105" s="64"/>
      <c r="F105" s="72">
        <f>Calculator!$M$2</f>
        <v>10</v>
      </c>
      <c r="G105" s="73">
        <f>Fjäderkurva!$D$14</f>
        <v>10</v>
      </c>
      <c r="H105" s="73">
        <f>Fjäderkurva!$D$19</f>
        <v>150</v>
      </c>
      <c r="I105" s="73">
        <f>Calculator!$X$19</f>
        <v>20</v>
      </c>
      <c r="J105" s="74">
        <f>Calculator!$X$20</f>
        <v>20</v>
      </c>
      <c r="K105" s="97">
        <v>77</v>
      </c>
      <c r="L105" s="98">
        <f t="shared" si="29"/>
        <v>25</v>
      </c>
      <c r="M105" s="122">
        <f>-0.000305883384051968*F105^2+0.156486863440078*F105+1.29999288234444</f>
        <v>2.8342731783400232</v>
      </c>
      <c r="N105" s="123">
        <f>(0*H105^2+0.02389494890977*H105+6.72599823905976)*(0.00227350762618537*I105^2-0.03*I105+3.13727121454514)</f>
        <v>35.536040857820566</v>
      </c>
      <c r="O105" s="123">
        <f>0.0991536412606766*(100*G105/F105)+2.0166981641606</f>
        <v>11.932062290228261</v>
      </c>
      <c r="P105" s="80">
        <f>((M105*N105*O105)*0.000754142112906586+0.237377105445892)+J105</f>
        <v>21.143692699986673</v>
      </c>
      <c r="Q105" s="80">
        <f>P105+10</f>
        <v>31.143692699986673</v>
      </c>
      <c r="R105" s="81">
        <f>P105</f>
        <v>21.143692699986673</v>
      </c>
      <c r="S105" s="81">
        <f>R105+10</f>
        <v>31.143692699986673</v>
      </c>
      <c r="T105" s="82">
        <f t="shared" si="33"/>
        <v>70.058646859976022</v>
      </c>
      <c r="U105" s="82">
        <f t="shared" si="33"/>
        <v>88.058646859976022</v>
      </c>
      <c r="V105" s="83">
        <f t="shared" si="41"/>
        <v>25</v>
      </c>
      <c r="W105" s="84">
        <f t="shared" si="42"/>
        <v>46.143692699986673</v>
      </c>
      <c r="X105" s="84">
        <f t="shared" si="34"/>
        <v>56.143692699986673</v>
      </c>
      <c r="Y105" s="84">
        <f t="shared" si="40"/>
        <v>115.05864685997601</v>
      </c>
      <c r="Z105" s="84">
        <f t="shared" si="40"/>
        <v>133.05864685997602</v>
      </c>
      <c r="AA105" s="85">
        <f t="shared" si="35"/>
        <v>115.05864685997601</v>
      </c>
      <c r="AB105" s="86">
        <f t="shared" si="35"/>
        <v>133.05864685997602</v>
      </c>
      <c r="AC105" s="86">
        <f t="shared" si="36"/>
        <v>46.143692699986673</v>
      </c>
      <c r="AD105" s="86">
        <f t="shared" si="36"/>
        <v>56.14369269998668</v>
      </c>
      <c r="AE105" s="62" t="str">
        <f>IF(Q105&gt;80,"High temp. Please contact your distributor for advice",IF(H105&gt;180,"Too high charging pressure!",""))</f>
        <v/>
      </c>
      <c r="AF105" s="62" t="str">
        <f>AE105</f>
        <v/>
      </c>
      <c r="AG105" s="50">
        <v>2</v>
      </c>
      <c r="AH105" s="87" t="s">
        <v>227</v>
      </c>
      <c r="AN105" s="88">
        <v>27</v>
      </c>
      <c r="AO105" s="88">
        <v>37</v>
      </c>
    </row>
    <row r="106" spans="1:41" ht="15" hidden="1" customHeight="1" x14ac:dyDescent="0.25">
      <c r="D106" s="71"/>
      <c r="E106" s="64"/>
      <c r="F106" s="71"/>
      <c r="G106" s="71"/>
      <c r="H106" s="71"/>
      <c r="I106" s="71"/>
      <c r="J106" s="71"/>
      <c r="K106" s="124"/>
      <c r="L106" s="90"/>
      <c r="M106" s="125"/>
      <c r="N106" s="58"/>
      <c r="O106" s="58"/>
      <c r="T106" s="91"/>
      <c r="U106" s="91"/>
      <c r="V106" s="92"/>
      <c r="W106" s="92"/>
      <c r="X106" s="92"/>
      <c r="Y106" s="92"/>
      <c r="Z106" s="92"/>
      <c r="AC106" s="93"/>
      <c r="AD106" s="93"/>
      <c r="AE106" s="62"/>
      <c r="AF106" s="62"/>
      <c r="AG106" s="50"/>
      <c r="AH106" s="51"/>
      <c r="AN106" s="88"/>
      <c r="AO106" s="88"/>
    </row>
    <row r="107" spans="1:41" ht="15" hidden="1" customHeight="1" x14ac:dyDescent="0.25">
      <c r="D107" s="71"/>
      <c r="E107" s="64"/>
      <c r="L107" s="90"/>
      <c r="M107" s="125"/>
      <c r="N107" s="58"/>
      <c r="O107" s="58"/>
      <c r="T107" s="91"/>
      <c r="U107" s="91"/>
      <c r="V107" s="92"/>
      <c r="W107" s="92"/>
      <c r="X107" s="92"/>
      <c r="Y107" s="92"/>
      <c r="Z107" s="92"/>
      <c r="AC107" s="93"/>
      <c r="AD107" s="93"/>
      <c r="AE107" s="62"/>
      <c r="AF107" s="62"/>
      <c r="AG107" s="50"/>
      <c r="AH107" s="51"/>
      <c r="AN107" s="88"/>
      <c r="AO107" s="88"/>
    </row>
    <row r="108" spans="1:41" ht="15" hidden="1" customHeight="1" x14ac:dyDescent="0.25">
      <c r="C108" s="63" t="s">
        <v>247</v>
      </c>
      <c r="D108" s="54" t="s">
        <v>69</v>
      </c>
      <c r="F108" s="55" t="s">
        <v>175</v>
      </c>
      <c r="G108" s="55" t="s">
        <v>176</v>
      </c>
      <c r="H108" s="55" t="s">
        <v>177</v>
      </c>
      <c r="I108" s="55" t="s">
        <v>178</v>
      </c>
      <c r="J108" s="55" t="s">
        <v>179</v>
      </c>
      <c r="K108" s="56" t="s">
        <v>179</v>
      </c>
      <c r="L108" s="57" t="s">
        <v>179</v>
      </c>
      <c r="M108" s="65"/>
      <c r="N108" s="65"/>
      <c r="O108" s="65"/>
      <c r="P108" s="59" t="s">
        <v>180</v>
      </c>
      <c r="R108" s="59" t="str">
        <f t="shared" ref="R108:S115" si="43">P108</f>
        <v>Estimated running</v>
      </c>
      <c r="V108" s="60" t="s">
        <v>181</v>
      </c>
      <c r="Y108" s="61"/>
      <c r="AB108" s="33" t="str">
        <f>P108</f>
        <v>Estimated running</v>
      </c>
      <c r="AC108" s="93"/>
      <c r="AD108" s="93"/>
      <c r="AE108" s="62"/>
      <c r="AF108" s="62"/>
      <c r="AG108" s="50">
        <v>1</v>
      </c>
      <c r="AH108" s="51"/>
      <c r="AN108" s="88"/>
      <c r="AO108" s="88"/>
    </row>
    <row r="109" spans="1:41" ht="15" hidden="1" customHeight="1" x14ac:dyDescent="0.25">
      <c r="D109" s="54"/>
      <c r="E109" s="64"/>
      <c r="F109" s="55"/>
      <c r="G109" s="55" t="s">
        <v>182</v>
      </c>
      <c r="H109" s="55"/>
      <c r="I109" s="55"/>
      <c r="J109" s="55" t="s">
        <v>183</v>
      </c>
      <c r="K109" s="56" t="s">
        <v>183</v>
      </c>
      <c r="L109" s="57" t="s">
        <v>183</v>
      </c>
      <c r="M109" s="65" t="s">
        <v>186</v>
      </c>
      <c r="N109" s="65" t="s">
        <v>210</v>
      </c>
      <c r="O109" s="65" t="s">
        <v>211</v>
      </c>
      <c r="P109" s="59" t="s">
        <v>187</v>
      </c>
      <c r="R109" s="59" t="str">
        <f t="shared" si="43"/>
        <v>temperature between:</v>
      </c>
      <c r="V109" s="66" t="s">
        <v>188</v>
      </c>
      <c r="Y109" s="61"/>
      <c r="AB109" s="33" t="str">
        <f>P109</f>
        <v>temperature between:</v>
      </c>
      <c r="AC109" s="93"/>
      <c r="AD109" s="93"/>
      <c r="AE109" s="62"/>
      <c r="AF109" s="62"/>
      <c r="AG109" s="50">
        <v>1</v>
      </c>
      <c r="AH109" s="51"/>
      <c r="AN109" s="88"/>
      <c r="AO109" s="88"/>
    </row>
    <row r="110" spans="1:41" ht="15" hidden="1" customHeight="1" x14ac:dyDescent="0.25">
      <c r="C110" s="67" t="s">
        <v>189</v>
      </c>
      <c r="D110" s="68" t="s">
        <v>189</v>
      </c>
      <c r="E110" s="69"/>
      <c r="F110" s="55"/>
      <c r="G110" s="55" t="s">
        <v>190</v>
      </c>
      <c r="H110" s="55" t="s">
        <v>191</v>
      </c>
      <c r="I110" s="55" t="s">
        <v>192</v>
      </c>
      <c r="J110" s="55" t="s">
        <v>193</v>
      </c>
      <c r="K110" s="56" t="s">
        <v>194</v>
      </c>
      <c r="L110" s="57" t="s">
        <v>193</v>
      </c>
      <c r="M110" s="65" t="s">
        <v>212</v>
      </c>
      <c r="N110" s="65" t="s">
        <v>213</v>
      </c>
      <c r="O110" s="65" t="s">
        <v>214</v>
      </c>
      <c r="P110" s="29" t="s">
        <v>193</v>
      </c>
      <c r="Q110" s="29" t="s">
        <v>193</v>
      </c>
      <c r="R110" s="29" t="str">
        <f t="shared" si="43"/>
        <v>[°C]</v>
      </c>
      <c r="S110" s="29" t="str">
        <f t="shared" si="43"/>
        <v>[°C]</v>
      </c>
      <c r="T110" s="31" t="s">
        <v>198</v>
      </c>
      <c r="U110" s="31" t="s">
        <v>199</v>
      </c>
      <c r="V110" s="66" t="s">
        <v>200</v>
      </c>
      <c r="W110" s="60" t="s">
        <v>201</v>
      </c>
      <c r="X110" s="60" t="s">
        <v>202</v>
      </c>
      <c r="Y110" s="60" t="s">
        <v>203</v>
      </c>
      <c r="Z110" s="60" t="s">
        <v>204</v>
      </c>
      <c r="AA110" s="26" t="s">
        <v>194</v>
      </c>
      <c r="AB110" s="26" t="s">
        <v>194</v>
      </c>
      <c r="AC110" s="26" t="s">
        <v>193</v>
      </c>
      <c r="AD110" s="26" t="s">
        <v>193</v>
      </c>
      <c r="AE110" s="62"/>
      <c r="AF110" s="62"/>
      <c r="AG110" s="50">
        <v>1</v>
      </c>
      <c r="AH110" s="51"/>
      <c r="AN110" s="88"/>
      <c r="AO110" s="88"/>
    </row>
    <row r="111" spans="1:41" ht="15" hidden="1" customHeight="1" x14ac:dyDescent="0.25">
      <c r="A111" s="38" t="str">
        <f>CONCATENATE("TL"," ",D111)</f>
        <v>TL 750</v>
      </c>
      <c r="C111" s="70">
        <v>750</v>
      </c>
      <c r="D111" s="54">
        <v>750</v>
      </c>
      <c r="F111" s="72">
        <f>Calculator!$M$2</f>
        <v>10</v>
      </c>
      <c r="G111" s="73">
        <f>Fjäderkurva!$D$14</f>
        <v>10</v>
      </c>
      <c r="H111" s="73">
        <f>Fjäderkurva!$D$19</f>
        <v>150</v>
      </c>
      <c r="I111" s="73">
        <f>Calculator!$X$19</f>
        <v>20</v>
      </c>
      <c r="J111" s="74">
        <f>Calculator!$X$20</f>
        <v>20</v>
      </c>
      <c r="K111" s="97">
        <v>77</v>
      </c>
      <c r="L111" s="98">
        <f t="shared" si="29"/>
        <v>25</v>
      </c>
      <c r="M111" s="110">
        <f>-0.0000002*F111^2+0.00005*F111+0.0132</f>
        <v>1.3679999999999999E-2</v>
      </c>
      <c r="N111" s="111">
        <f>0.88*(H111/150)+0.12</f>
        <v>1</v>
      </c>
      <c r="O111" s="111">
        <f>0.3551*(G111/F111)^2+0.5449*(G111/F111)+0.1</f>
        <v>1.0000000000000002</v>
      </c>
      <c r="P111" s="80">
        <f>F111*I111*M111*N111*O111+J111-2</f>
        <v>20.736000000000001</v>
      </c>
      <c r="Q111" s="80">
        <f>P111+10</f>
        <v>30.736000000000001</v>
      </c>
      <c r="R111" s="81">
        <f t="shared" si="43"/>
        <v>20.736000000000001</v>
      </c>
      <c r="S111" s="81">
        <f t="shared" si="43"/>
        <v>30.736000000000001</v>
      </c>
      <c r="T111" s="82">
        <f t="shared" si="33"/>
        <v>69.32480000000001</v>
      </c>
      <c r="U111" s="82">
        <f t="shared" si="33"/>
        <v>87.32480000000001</v>
      </c>
      <c r="V111" s="83">
        <f t="shared" si="41"/>
        <v>25</v>
      </c>
      <c r="W111" s="84">
        <f t="shared" si="42"/>
        <v>45.736000000000004</v>
      </c>
      <c r="X111" s="84">
        <f t="shared" si="34"/>
        <v>55.736000000000004</v>
      </c>
      <c r="Y111" s="84">
        <f t="shared" si="40"/>
        <v>114.32480000000001</v>
      </c>
      <c r="Z111" s="84">
        <f t="shared" si="40"/>
        <v>132.32480000000001</v>
      </c>
      <c r="AA111" s="85">
        <f t="shared" si="35"/>
        <v>114.32480000000001</v>
      </c>
      <c r="AB111" s="86">
        <f t="shared" si="35"/>
        <v>132.32480000000001</v>
      </c>
      <c r="AC111" s="86">
        <f t="shared" si="36"/>
        <v>45.736000000000011</v>
      </c>
      <c r="AD111" s="86">
        <f t="shared" si="36"/>
        <v>55.736000000000011</v>
      </c>
      <c r="AE111" s="62" t="str">
        <f>IF(Q111&gt;80,"High temp. Please contact your distributor for advice",IF(H111&gt;150,"Too high charging pressure!",""))</f>
        <v/>
      </c>
      <c r="AF111" s="62" t="str">
        <f>AE111</f>
        <v/>
      </c>
      <c r="AG111" s="50">
        <v>1</v>
      </c>
      <c r="AH111" s="87" t="s">
        <v>248</v>
      </c>
      <c r="AN111" s="88">
        <v>34</v>
      </c>
      <c r="AO111" s="88">
        <v>44</v>
      </c>
    </row>
    <row r="112" spans="1:41" ht="15" hidden="1" customHeight="1" x14ac:dyDescent="0.25">
      <c r="A112" s="38" t="str">
        <f t="shared" ref="A112:A115" si="44">CONCATENATE("TL"," ",D112)</f>
        <v>TL 1500</v>
      </c>
      <c r="C112" s="70">
        <v>1500</v>
      </c>
      <c r="D112" s="54">
        <v>1500</v>
      </c>
      <c r="F112" s="72">
        <f>Calculator!$M$2</f>
        <v>10</v>
      </c>
      <c r="G112" s="73">
        <f>Fjäderkurva!$D$14</f>
        <v>10</v>
      </c>
      <c r="H112" s="73">
        <f>Fjäderkurva!$D$19</f>
        <v>150</v>
      </c>
      <c r="I112" s="73">
        <f>Calculator!$X$19</f>
        <v>20</v>
      </c>
      <c r="J112" s="74">
        <f>Calculator!$X$20</f>
        <v>20</v>
      </c>
      <c r="K112" s="97">
        <v>77</v>
      </c>
      <c r="L112" s="98">
        <f t="shared" si="29"/>
        <v>25</v>
      </c>
      <c r="M112" s="110">
        <f>-0.00000015*F112^2+0.000027*F112+0.0145</f>
        <v>1.4755000000000001E-2</v>
      </c>
      <c r="N112" s="111">
        <f>0.88*(H112/150)+0.12</f>
        <v>1</v>
      </c>
      <c r="O112" s="111">
        <f>0.82*(G112/F112)^2+0.075*(G112/F112)+0.1</f>
        <v>0.99499999999999988</v>
      </c>
      <c r="P112" s="80">
        <f>F112*I112*M112*N112*O112+J112</f>
        <v>22.936245</v>
      </c>
      <c r="Q112" s="80">
        <f>P112+10</f>
        <v>32.936245</v>
      </c>
      <c r="R112" s="81">
        <f t="shared" si="43"/>
        <v>22.936245</v>
      </c>
      <c r="S112" s="81">
        <f t="shared" si="43"/>
        <v>32.936245</v>
      </c>
      <c r="T112" s="82">
        <f t="shared" si="33"/>
        <v>73.285240999999999</v>
      </c>
      <c r="U112" s="82">
        <f t="shared" si="33"/>
        <v>91.285240999999999</v>
      </c>
      <c r="V112" s="83">
        <f t="shared" si="41"/>
        <v>25</v>
      </c>
      <c r="W112" s="84">
        <f t="shared" si="42"/>
        <v>47.936245</v>
      </c>
      <c r="X112" s="84">
        <f t="shared" si="34"/>
        <v>57.936245</v>
      </c>
      <c r="Y112" s="84">
        <f t="shared" si="40"/>
        <v>118.285241</v>
      </c>
      <c r="Z112" s="84">
        <f t="shared" si="40"/>
        <v>136.28524099999998</v>
      </c>
      <c r="AA112" s="85">
        <f t="shared" si="35"/>
        <v>118.285241</v>
      </c>
      <c r="AB112" s="86">
        <f t="shared" si="35"/>
        <v>136.28524099999998</v>
      </c>
      <c r="AC112" s="86">
        <f t="shared" si="36"/>
        <v>47.936245</v>
      </c>
      <c r="AD112" s="86">
        <f t="shared" si="36"/>
        <v>57.936244999999992</v>
      </c>
      <c r="AE112" s="62" t="str">
        <f>IF(Q112&gt;80,"High temp. Please contact your distributor for advice",IF(H112&gt;150,"Too high charging pressure!",""))</f>
        <v/>
      </c>
      <c r="AF112" s="62" t="str">
        <f>AE112</f>
        <v/>
      </c>
      <c r="AG112" s="50">
        <v>1</v>
      </c>
      <c r="AH112" s="87" t="s">
        <v>249</v>
      </c>
      <c r="AN112" s="88">
        <v>38</v>
      </c>
      <c r="AO112" s="88">
        <v>48</v>
      </c>
    </row>
    <row r="113" spans="1:41" ht="15" hidden="1" customHeight="1" x14ac:dyDescent="0.25">
      <c r="A113" s="38" t="str">
        <f t="shared" si="44"/>
        <v>TL 3000</v>
      </c>
      <c r="C113" s="70">
        <v>3000</v>
      </c>
      <c r="D113" s="54">
        <v>3000</v>
      </c>
      <c r="F113" s="72">
        <f>Calculator!$M$2</f>
        <v>10</v>
      </c>
      <c r="G113" s="73">
        <f>Fjäderkurva!$D$14</f>
        <v>10</v>
      </c>
      <c r="H113" s="73">
        <f>Fjäderkurva!$D$19</f>
        <v>150</v>
      </c>
      <c r="I113" s="73">
        <f>Calculator!$X$19</f>
        <v>20</v>
      </c>
      <c r="J113" s="74">
        <f>Calculator!$X$20</f>
        <v>20</v>
      </c>
      <c r="K113" s="97">
        <v>77</v>
      </c>
      <c r="L113" s="98">
        <f t="shared" si="29"/>
        <v>25</v>
      </c>
      <c r="M113" s="110">
        <f>0.00000005*F113^2-0.000034*F113+0.0186</f>
        <v>1.8265E-2</v>
      </c>
      <c r="N113" s="111">
        <f>0.75*(H113/150)+0.25</f>
        <v>1</v>
      </c>
      <c r="O113" s="111">
        <f>0.82*(G113/F113)^2+0.075*(G113/F113)+0.1</f>
        <v>0.99499999999999988</v>
      </c>
      <c r="P113" s="80">
        <f>F113*I113*M113*N113*O113+J113</f>
        <v>23.634734999999999</v>
      </c>
      <c r="Q113" s="80">
        <f>P113+10</f>
        <v>33.634734999999999</v>
      </c>
      <c r="R113" s="81">
        <f t="shared" si="43"/>
        <v>23.634734999999999</v>
      </c>
      <c r="S113" s="81">
        <f t="shared" si="43"/>
        <v>33.634734999999999</v>
      </c>
      <c r="T113" s="82">
        <f t="shared" si="33"/>
        <v>74.542523000000003</v>
      </c>
      <c r="U113" s="82">
        <f t="shared" si="33"/>
        <v>92.542523000000003</v>
      </c>
      <c r="V113" s="83">
        <f t="shared" si="41"/>
        <v>25</v>
      </c>
      <c r="W113" s="84">
        <f t="shared" si="42"/>
        <v>48.634734999999999</v>
      </c>
      <c r="X113" s="84">
        <f t="shared" si="34"/>
        <v>58.634734999999999</v>
      </c>
      <c r="Y113" s="84">
        <f t="shared" si="40"/>
        <v>119.542523</v>
      </c>
      <c r="Z113" s="84">
        <f t="shared" si="40"/>
        <v>137.54252300000002</v>
      </c>
      <c r="AA113" s="85">
        <f t="shared" si="35"/>
        <v>119.542523</v>
      </c>
      <c r="AB113" s="86">
        <f t="shared" si="35"/>
        <v>137.54252300000002</v>
      </c>
      <c r="AC113" s="86">
        <f t="shared" si="36"/>
        <v>48.634735000000006</v>
      </c>
      <c r="AD113" s="86">
        <f t="shared" si="36"/>
        <v>58.634735000000013</v>
      </c>
      <c r="AE113" s="62" t="str">
        <f>IF(Q113&gt;80,"High temp. Please contact your distributor for advice",IF(H113&gt;150,"Too high charging pressure!",""))</f>
        <v/>
      </c>
      <c r="AF113" s="62" t="str">
        <f>AE113</f>
        <v/>
      </c>
      <c r="AG113" s="50">
        <v>1</v>
      </c>
      <c r="AH113" s="87" t="s">
        <v>250</v>
      </c>
      <c r="AN113" s="88">
        <v>47</v>
      </c>
      <c r="AO113" s="88">
        <v>57</v>
      </c>
    </row>
    <row r="114" spans="1:41" ht="15" hidden="1" customHeight="1" x14ac:dyDescent="0.25">
      <c r="A114" s="38" t="str">
        <f t="shared" si="44"/>
        <v>TL 5000</v>
      </c>
      <c r="C114" s="70">
        <v>5000</v>
      </c>
      <c r="D114" s="54">
        <v>5000</v>
      </c>
      <c r="F114" s="72">
        <f>Calculator!$M$2</f>
        <v>10</v>
      </c>
      <c r="G114" s="73">
        <f>Fjäderkurva!$D$14</f>
        <v>10</v>
      </c>
      <c r="H114" s="73">
        <f>Fjäderkurva!$D$19</f>
        <v>150</v>
      </c>
      <c r="I114" s="73">
        <f>Calculator!$X$19</f>
        <v>20</v>
      </c>
      <c r="J114" s="74">
        <f>Calculator!$X$20</f>
        <v>20</v>
      </c>
      <c r="K114" s="97">
        <v>77</v>
      </c>
      <c r="L114" s="98">
        <f t="shared" si="29"/>
        <v>25</v>
      </c>
      <c r="M114" s="110">
        <f>-0.000003*F114+0.0155</f>
        <v>1.5469999999999999E-2</v>
      </c>
      <c r="N114" s="111">
        <f>0.89*(H114/150)+0.11</f>
        <v>1</v>
      </c>
      <c r="O114" s="111">
        <f>0.82*(G114/F114)^2+0.075*(G114/F114)+0.1</f>
        <v>0.99499999999999988</v>
      </c>
      <c r="P114" s="80">
        <f>F114*I114*M114*N114*O114+J114</f>
        <v>23.078530000000001</v>
      </c>
      <c r="Q114" s="80">
        <f>P114+10</f>
        <v>33.078530000000001</v>
      </c>
      <c r="R114" s="81">
        <f t="shared" si="43"/>
        <v>23.078530000000001</v>
      </c>
      <c r="S114" s="81">
        <f t="shared" si="43"/>
        <v>33.078530000000001</v>
      </c>
      <c r="T114" s="82">
        <f t="shared" si="33"/>
        <v>73.541354000000013</v>
      </c>
      <c r="U114" s="82">
        <f t="shared" si="33"/>
        <v>91.541354000000013</v>
      </c>
      <c r="V114" s="83">
        <f t="shared" si="41"/>
        <v>25</v>
      </c>
      <c r="W114" s="84">
        <f t="shared" si="42"/>
        <v>48.078530000000001</v>
      </c>
      <c r="X114" s="84">
        <f t="shared" si="34"/>
        <v>58.078530000000001</v>
      </c>
      <c r="Y114" s="84">
        <f t="shared" si="40"/>
        <v>118.541354</v>
      </c>
      <c r="Z114" s="84">
        <f t="shared" si="40"/>
        <v>136.54135400000001</v>
      </c>
      <c r="AA114" s="85">
        <f t="shared" si="35"/>
        <v>118.541354</v>
      </c>
      <c r="AB114" s="86">
        <f t="shared" si="35"/>
        <v>136.54135400000001</v>
      </c>
      <c r="AC114" s="86">
        <f t="shared" si="36"/>
        <v>48.078530000000001</v>
      </c>
      <c r="AD114" s="86">
        <f t="shared" si="36"/>
        <v>58.078530000000008</v>
      </c>
      <c r="AE114" s="62" t="str">
        <f>IF(Q114&gt;80,"High temp. Please contact your distributor for advice",IF(H114&gt;150,"Too high charging pressure!",""))</f>
        <v/>
      </c>
      <c r="AF114" s="62" t="str">
        <f>AE114</f>
        <v/>
      </c>
      <c r="AG114" s="50">
        <v>1</v>
      </c>
      <c r="AH114" s="87" t="s">
        <v>251</v>
      </c>
      <c r="AN114" s="88">
        <v>38</v>
      </c>
      <c r="AO114" s="88">
        <v>48</v>
      </c>
    </row>
    <row r="115" spans="1:41" ht="15" hidden="1" customHeight="1" x14ac:dyDescent="0.25">
      <c r="A115" s="38" t="str">
        <f t="shared" si="44"/>
        <v>TL 7500</v>
      </c>
      <c r="C115" s="70">
        <v>7500</v>
      </c>
      <c r="D115" s="71">
        <v>7500</v>
      </c>
      <c r="F115" s="72">
        <f>Calculator!$M$2</f>
        <v>10</v>
      </c>
      <c r="G115" s="73">
        <f>Fjäderkurva!$D$14</f>
        <v>10</v>
      </c>
      <c r="H115" s="73">
        <f>Fjäderkurva!$D$19</f>
        <v>150</v>
      </c>
      <c r="I115" s="73">
        <f>Calculator!$X$19</f>
        <v>20</v>
      </c>
      <c r="J115" s="74">
        <f>Calculator!$X$20</f>
        <v>20</v>
      </c>
      <c r="K115" s="97">
        <v>77</v>
      </c>
      <c r="L115" s="98">
        <f t="shared" si="29"/>
        <v>25</v>
      </c>
      <c r="M115" s="110">
        <f>-0.000018*F115+0.025</f>
        <v>2.4820000000000002E-2</v>
      </c>
      <c r="N115" s="111">
        <f>0.85*(H115/150)+0.15</f>
        <v>1</v>
      </c>
      <c r="O115" s="111">
        <f>0.82*(G115/F115)^2+0.075*(G115/F115)+0.1</f>
        <v>0.99499999999999988</v>
      </c>
      <c r="P115" s="80">
        <f>F115*I115*M115*N115*O115+J115</f>
        <v>24.93918</v>
      </c>
      <c r="Q115" s="80">
        <f>P115+10</f>
        <v>34.93918</v>
      </c>
      <c r="R115" s="81">
        <f t="shared" si="43"/>
        <v>24.93918</v>
      </c>
      <c r="S115" s="81">
        <f t="shared" si="43"/>
        <v>34.93918</v>
      </c>
      <c r="T115" s="82">
        <f t="shared" si="33"/>
        <v>76.890523999999999</v>
      </c>
      <c r="U115" s="82">
        <f t="shared" si="33"/>
        <v>94.890523999999999</v>
      </c>
      <c r="V115" s="83">
        <f t="shared" si="41"/>
        <v>25</v>
      </c>
      <c r="W115" s="84">
        <f t="shared" si="42"/>
        <v>49.93918</v>
      </c>
      <c r="X115" s="84">
        <f t="shared" si="34"/>
        <v>59.93918</v>
      </c>
      <c r="Y115" s="84">
        <f t="shared" si="40"/>
        <v>121.890524</v>
      </c>
      <c r="Z115" s="84">
        <f t="shared" si="40"/>
        <v>139.890524</v>
      </c>
      <c r="AA115" s="85">
        <f t="shared" si="35"/>
        <v>121.890524</v>
      </c>
      <c r="AB115" s="86">
        <f t="shared" si="35"/>
        <v>139.890524</v>
      </c>
      <c r="AC115" s="86">
        <f t="shared" si="36"/>
        <v>49.93918</v>
      </c>
      <c r="AD115" s="86">
        <f t="shared" si="36"/>
        <v>59.93918</v>
      </c>
      <c r="AE115" s="62" t="str">
        <f>IF(Q115&gt;80,"High temp. Please contact your distributor for advice",IF(H115&gt;150,"Too high charging pressure!",""))</f>
        <v/>
      </c>
      <c r="AF115" s="62" t="str">
        <f>AE115</f>
        <v/>
      </c>
      <c r="AG115" s="50">
        <v>1</v>
      </c>
      <c r="AH115" s="87" t="s">
        <v>252</v>
      </c>
      <c r="AN115" s="88">
        <v>44</v>
      </c>
      <c r="AO115" s="88">
        <v>54</v>
      </c>
    </row>
    <row r="116" spans="1:41" ht="15" hidden="1" customHeight="1" x14ac:dyDescent="0.25">
      <c r="D116" s="54"/>
      <c r="E116" s="64"/>
      <c r="F116" s="36"/>
      <c r="G116" s="54"/>
      <c r="H116" s="54"/>
      <c r="I116" s="54"/>
      <c r="J116" s="54"/>
      <c r="K116" s="126"/>
      <c r="L116" s="90"/>
      <c r="M116" s="127"/>
      <c r="N116" s="128"/>
      <c r="O116" s="128"/>
      <c r="P116" s="90"/>
      <c r="Q116" s="90"/>
      <c r="R116" s="90"/>
      <c r="S116" s="90"/>
      <c r="T116" s="91"/>
      <c r="U116" s="91"/>
      <c r="V116" s="92"/>
      <c r="W116" s="92"/>
      <c r="X116" s="92"/>
      <c r="Y116" s="92"/>
      <c r="Z116" s="92"/>
      <c r="AC116" s="93"/>
      <c r="AD116" s="93"/>
      <c r="AE116" s="62"/>
      <c r="AF116" s="62"/>
      <c r="AG116" s="50"/>
      <c r="AH116" s="51"/>
      <c r="AN116" s="88"/>
      <c r="AO116" s="88"/>
    </row>
    <row r="117" spans="1:41" ht="15" hidden="1" customHeight="1" x14ac:dyDescent="0.25">
      <c r="D117" s="54"/>
      <c r="E117" s="64"/>
      <c r="F117" s="36"/>
      <c r="G117" s="54"/>
      <c r="H117" s="54"/>
      <c r="I117" s="54"/>
      <c r="J117" s="54"/>
      <c r="K117" s="126"/>
      <c r="L117" s="90"/>
      <c r="M117" s="127"/>
      <c r="N117" s="65" t="s">
        <v>223</v>
      </c>
      <c r="O117" s="128"/>
      <c r="P117" s="90"/>
      <c r="Q117" s="90"/>
      <c r="R117" s="90"/>
      <c r="S117" s="90"/>
      <c r="T117" s="91"/>
      <c r="U117" s="91"/>
      <c r="V117" s="92"/>
      <c r="W117" s="92"/>
      <c r="X117" s="92"/>
      <c r="Y117" s="92"/>
      <c r="Z117" s="92"/>
      <c r="AC117" s="93"/>
      <c r="AD117" s="93"/>
      <c r="AE117" s="62"/>
      <c r="AF117" s="62"/>
      <c r="AG117" s="50"/>
      <c r="AH117" s="51"/>
      <c r="AN117" s="88"/>
      <c r="AO117" s="88"/>
    </row>
    <row r="118" spans="1:41" ht="15" hidden="1" customHeight="1" x14ac:dyDescent="0.25">
      <c r="C118" s="63" t="s">
        <v>253</v>
      </c>
      <c r="D118" s="54" t="s">
        <v>5</v>
      </c>
      <c r="F118" s="55" t="s">
        <v>175</v>
      </c>
      <c r="G118" s="55" t="s">
        <v>176</v>
      </c>
      <c r="H118" s="55" t="s">
        <v>177</v>
      </c>
      <c r="I118" s="55" t="s">
        <v>178</v>
      </c>
      <c r="J118" s="55" t="s">
        <v>179</v>
      </c>
      <c r="K118" s="56" t="s">
        <v>179</v>
      </c>
      <c r="L118" s="57" t="s">
        <v>179</v>
      </c>
      <c r="M118" s="129" t="s">
        <v>224</v>
      </c>
      <c r="N118" s="129" t="s">
        <v>225</v>
      </c>
      <c r="O118" s="129" t="s">
        <v>226</v>
      </c>
      <c r="P118" s="59" t="s">
        <v>180</v>
      </c>
      <c r="R118" s="59" t="str">
        <f t="shared" ref="R118:S128" si="45">P118</f>
        <v>Estimated running</v>
      </c>
      <c r="V118" s="60" t="s">
        <v>181</v>
      </c>
      <c r="Y118" s="61"/>
      <c r="AB118" s="33" t="str">
        <f>P118</f>
        <v>Estimated running</v>
      </c>
      <c r="AC118" s="93"/>
      <c r="AD118" s="93"/>
      <c r="AE118" s="62"/>
      <c r="AF118" s="62"/>
      <c r="AG118" s="50">
        <v>1</v>
      </c>
      <c r="AH118" s="51"/>
      <c r="AN118" s="88"/>
      <c r="AO118" s="88"/>
    </row>
    <row r="119" spans="1:41" s="64" customFormat="1" ht="15" hidden="1" customHeight="1" x14ac:dyDescent="0.25">
      <c r="A119" s="38"/>
      <c r="B119" s="38"/>
      <c r="C119" s="40"/>
      <c r="D119" s="54"/>
      <c r="F119" s="55"/>
      <c r="G119" s="55" t="s">
        <v>182</v>
      </c>
      <c r="H119" s="55"/>
      <c r="I119" s="55"/>
      <c r="J119" s="55" t="s">
        <v>183</v>
      </c>
      <c r="K119" s="56" t="s">
        <v>183</v>
      </c>
      <c r="L119" s="57" t="s">
        <v>183</v>
      </c>
      <c r="M119" s="65" t="s">
        <v>186</v>
      </c>
      <c r="N119" s="65" t="s">
        <v>210</v>
      </c>
      <c r="O119" s="65" t="s">
        <v>211</v>
      </c>
      <c r="P119" s="59" t="s">
        <v>187</v>
      </c>
      <c r="Q119" s="29"/>
      <c r="R119" s="59" t="str">
        <f t="shared" si="45"/>
        <v>temperature between:</v>
      </c>
      <c r="S119" s="29"/>
      <c r="T119" s="31"/>
      <c r="U119" s="31"/>
      <c r="V119" s="66" t="s">
        <v>188</v>
      </c>
      <c r="W119" s="32"/>
      <c r="X119" s="32"/>
      <c r="Y119" s="61"/>
      <c r="Z119" s="32"/>
      <c r="AA119" s="33"/>
      <c r="AB119" s="33" t="str">
        <f>P119</f>
        <v>temperature between:</v>
      </c>
      <c r="AC119" s="93"/>
      <c r="AD119" s="93"/>
      <c r="AE119" s="62"/>
      <c r="AF119" s="62"/>
      <c r="AG119" s="94">
        <v>1</v>
      </c>
      <c r="AH119" s="95"/>
      <c r="AN119" s="88"/>
      <c r="AO119" s="88"/>
    </row>
    <row r="120" spans="1:41" s="64" customFormat="1" ht="15" hidden="1" customHeight="1" x14ac:dyDescent="0.25">
      <c r="A120" s="38"/>
      <c r="B120" s="38"/>
      <c r="C120" s="67" t="s">
        <v>189</v>
      </c>
      <c r="D120" s="68" t="s">
        <v>189</v>
      </c>
      <c r="E120" s="69"/>
      <c r="F120" s="55"/>
      <c r="G120" s="55" t="s">
        <v>190</v>
      </c>
      <c r="H120" s="55" t="s">
        <v>191</v>
      </c>
      <c r="I120" s="55" t="s">
        <v>192</v>
      </c>
      <c r="J120" s="55" t="s">
        <v>193</v>
      </c>
      <c r="K120" s="56" t="s">
        <v>194</v>
      </c>
      <c r="L120" s="57" t="s">
        <v>193</v>
      </c>
      <c r="M120" s="65" t="s">
        <v>212</v>
      </c>
      <c r="N120" s="65" t="s">
        <v>213</v>
      </c>
      <c r="O120" s="65" t="s">
        <v>214</v>
      </c>
      <c r="P120" s="29" t="s">
        <v>193</v>
      </c>
      <c r="Q120" s="29" t="s">
        <v>193</v>
      </c>
      <c r="R120" s="29" t="str">
        <f t="shared" si="45"/>
        <v>[°C]</v>
      </c>
      <c r="S120" s="29" t="str">
        <f t="shared" si="45"/>
        <v>[°C]</v>
      </c>
      <c r="T120" s="31" t="s">
        <v>198</v>
      </c>
      <c r="U120" s="31" t="s">
        <v>199</v>
      </c>
      <c r="V120" s="66" t="s">
        <v>200</v>
      </c>
      <c r="W120" s="60" t="s">
        <v>201</v>
      </c>
      <c r="X120" s="60" t="s">
        <v>202</v>
      </c>
      <c r="Y120" s="60" t="s">
        <v>203</v>
      </c>
      <c r="Z120" s="60" t="s">
        <v>204</v>
      </c>
      <c r="AA120" s="26" t="s">
        <v>194</v>
      </c>
      <c r="AB120" s="26" t="s">
        <v>194</v>
      </c>
      <c r="AC120" s="26" t="s">
        <v>193</v>
      </c>
      <c r="AD120" s="26" t="s">
        <v>193</v>
      </c>
      <c r="AE120" s="62"/>
      <c r="AF120" s="62"/>
      <c r="AG120" s="94">
        <v>1</v>
      </c>
      <c r="AH120" s="95"/>
      <c r="AN120" s="88"/>
      <c r="AO120" s="88"/>
    </row>
    <row r="121" spans="1:41" s="64" customFormat="1" ht="15" hidden="1" customHeight="1" x14ac:dyDescent="0.25">
      <c r="A121" s="38" t="str">
        <f>CONCATENATE("TU"," ",D121)</f>
        <v>TU 250</v>
      </c>
      <c r="B121" s="38"/>
      <c r="C121" s="70">
        <v>250</v>
      </c>
      <c r="D121" s="71">
        <v>250</v>
      </c>
      <c r="E121" s="69"/>
      <c r="F121" s="72">
        <f>Calculator!$M$2</f>
        <v>10</v>
      </c>
      <c r="G121" s="73">
        <f>Fjäderkurva!$D$14</f>
        <v>10</v>
      </c>
      <c r="H121" s="73">
        <f>Fjäderkurva!$D$19</f>
        <v>150</v>
      </c>
      <c r="I121" s="73">
        <f>Calculator!$X$19</f>
        <v>20</v>
      </c>
      <c r="J121" s="74">
        <f>Calculator!$X$20</f>
        <v>20</v>
      </c>
      <c r="K121" s="97">
        <v>77</v>
      </c>
      <c r="L121" s="98">
        <f t="shared" si="29"/>
        <v>25</v>
      </c>
      <c r="M121" s="130">
        <f>0*F121^2+0.191028214047924*F121+1.19489445411071</f>
        <v>3.1051765945899499</v>
      </c>
      <c r="N121" s="131">
        <f>(0*H121^2+0.0198307891272208*H121+11.9649416367658)*(0*I121^2+0.0630821558264525*I121+9.92754833295433)</f>
        <v>167.16159707648865</v>
      </c>
      <c r="O121" s="131">
        <f>0.0557716256805885*(100*G121/F121)+9.77007422382933</f>
        <v>15.347236791888179</v>
      </c>
      <c r="P121" s="80">
        <f>((M121*N121*O121)*0.000375660733019535-0.345071041185781)+J121</f>
        <v>22.647529921091891</v>
      </c>
      <c r="Q121" s="80">
        <f>P121+10</f>
        <v>32.647529921091888</v>
      </c>
      <c r="R121" s="81">
        <f t="shared" si="45"/>
        <v>22.647529921091891</v>
      </c>
      <c r="S121" s="81">
        <f t="shared" si="45"/>
        <v>32.647529921091888</v>
      </c>
      <c r="T121" s="82">
        <f t="shared" si="33"/>
        <v>72.765553857965415</v>
      </c>
      <c r="U121" s="82">
        <f t="shared" si="33"/>
        <v>90.765553857965401</v>
      </c>
      <c r="V121" s="83">
        <f t="shared" si="41"/>
        <v>25</v>
      </c>
      <c r="W121" s="84">
        <f t="shared" si="42"/>
        <v>47.647529921091888</v>
      </c>
      <c r="X121" s="84">
        <f t="shared" si="34"/>
        <v>57.647529921091888</v>
      </c>
      <c r="Y121" s="84">
        <f t="shared" si="40"/>
        <v>117.7655538579654</v>
      </c>
      <c r="Z121" s="84">
        <f t="shared" si="40"/>
        <v>135.76555385796541</v>
      </c>
      <c r="AA121" s="85">
        <f t="shared" si="35"/>
        <v>117.7655538579654</v>
      </c>
      <c r="AB121" s="86">
        <f t="shared" si="35"/>
        <v>135.76555385796541</v>
      </c>
      <c r="AC121" s="86">
        <f t="shared" si="36"/>
        <v>47.647529921091895</v>
      </c>
      <c r="AD121" s="86">
        <f t="shared" si="36"/>
        <v>57.647529921091902</v>
      </c>
      <c r="AE121" s="62" t="str">
        <f t="shared" ref="AE121:AE128" si="46">IF(Q121&gt;80,"High temp. Please contact your distributor for advice",IF(H121&gt;150,"Too high charging pressure!",""))</f>
        <v/>
      </c>
      <c r="AF121" s="62" t="str">
        <f t="shared" ref="AF121:AF128" si="47">AE121</f>
        <v/>
      </c>
      <c r="AG121" s="94">
        <v>1</v>
      </c>
      <c r="AH121" s="87" t="s">
        <v>227</v>
      </c>
      <c r="AN121" s="88">
        <v>42</v>
      </c>
      <c r="AO121" s="88">
        <v>52</v>
      </c>
    </row>
    <row r="122" spans="1:41" ht="15" hidden="1" customHeight="1" x14ac:dyDescent="0.25">
      <c r="A122" s="38" t="str">
        <f t="shared" ref="A122:A128" si="48">CONCATENATE("TU"," ",D122)</f>
        <v>TU 500</v>
      </c>
      <c r="C122" s="70">
        <v>500</v>
      </c>
      <c r="D122" s="71">
        <v>500</v>
      </c>
      <c r="E122" s="109"/>
      <c r="F122" s="72">
        <f>Calculator!$M$2</f>
        <v>10</v>
      </c>
      <c r="G122" s="73">
        <f>Fjäderkurva!$D$14</f>
        <v>10</v>
      </c>
      <c r="H122" s="73">
        <f>Fjäderkurva!$D$19</f>
        <v>150</v>
      </c>
      <c r="I122" s="73">
        <f>Calculator!$X$19</f>
        <v>20</v>
      </c>
      <c r="J122" s="74">
        <f>Calculator!$X$20</f>
        <v>20</v>
      </c>
      <c r="K122" s="97">
        <v>77</v>
      </c>
      <c r="L122" s="98">
        <f t="shared" si="29"/>
        <v>25</v>
      </c>
      <c r="M122" s="110">
        <f>-0.00000013726*F122^2-0.0000076261*F122+0.0133</f>
        <v>1.3210013E-2</v>
      </c>
      <c r="N122" s="111">
        <f>0.1645*EXP(1.7*(H122/150))+0.1</f>
        <v>1.0004643459391245</v>
      </c>
      <c r="O122" s="111">
        <f>0.496*(G122/F122)^2+0.4572*(G122/F122)+0.05</f>
        <v>1.0032000000000001</v>
      </c>
      <c r="P122" s="80">
        <f>(F122*I122*M122*N122*O122)+J122</f>
        <v>22.651687737268638</v>
      </c>
      <c r="Q122" s="80">
        <f>P122+10</f>
        <v>32.651687737268638</v>
      </c>
      <c r="R122" s="81">
        <f t="shared" si="45"/>
        <v>22.651687737268638</v>
      </c>
      <c r="S122" s="81">
        <f t="shared" si="45"/>
        <v>32.651687737268638</v>
      </c>
      <c r="T122" s="82">
        <f t="shared" si="33"/>
        <v>72.77303792708355</v>
      </c>
      <c r="U122" s="82">
        <f t="shared" si="33"/>
        <v>90.77303792708355</v>
      </c>
      <c r="V122" s="83">
        <f t="shared" si="41"/>
        <v>25</v>
      </c>
      <c r="W122" s="84">
        <f t="shared" si="42"/>
        <v>47.651687737268638</v>
      </c>
      <c r="X122" s="84">
        <f t="shared" si="34"/>
        <v>57.651687737268638</v>
      </c>
      <c r="Y122" s="84">
        <f t="shared" si="40"/>
        <v>117.77303792708355</v>
      </c>
      <c r="Z122" s="84">
        <f t="shared" si="40"/>
        <v>135.77303792708355</v>
      </c>
      <c r="AA122" s="85">
        <f t="shared" si="35"/>
        <v>117.77303792708355</v>
      </c>
      <c r="AB122" s="86">
        <f t="shared" si="35"/>
        <v>135.77303792708355</v>
      </c>
      <c r="AC122" s="86">
        <f t="shared" si="36"/>
        <v>47.651687737268638</v>
      </c>
      <c r="AD122" s="86">
        <f t="shared" si="36"/>
        <v>57.651687737268638</v>
      </c>
      <c r="AE122" s="62" t="str">
        <f t="shared" si="46"/>
        <v/>
      </c>
      <c r="AF122" s="62" t="str">
        <f t="shared" si="47"/>
        <v/>
      </c>
      <c r="AG122" s="50">
        <v>1</v>
      </c>
      <c r="AH122" s="87" t="s">
        <v>219</v>
      </c>
      <c r="AN122" s="88">
        <v>29</v>
      </c>
      <c r="AO122" s="88">
        <v>39</v>
      </c>
    </row>
    <row r="123" spans="1:41" ht="15" hidden="1" customHeight="1" x14ac:dyDescent="0.25">
      <c r="A123" s="38" t="str">
        <f t="shared" si="48"/>
        <v>TU 750</v>
      </c>
      <c r="C123" s="70">
        <v>750</v>
      </c>
      <c r="D123" s="71">
        <v>750</v>
      </c>
      <c r="E123" s="109"/>
      <c r="F123" s="72">
        <f>Calculator!$M$2</f>
        <v>10</v>
      </c>
      <c r="G123" s="73">
        <f>Fjäderkurva!$D$14</f>
        <v>10</v>
      </c>
      <c r="H123" s="73">
        <f>Fjäderkurva!$D$19</f>
        <v>150</v>
      </c>
      <c r="I123" s="73">
        <f>Calculator!$X$19</f>
        <v>20</v>
      </c>
      <c r="J123" s="74">
        <f>Calculator!$X$20</f>
        <v>20</v>
      </c>
      <c r="K123" s="97">
        <v>77</v>
      </c>
      <c r="L123" s="98">
        <f t="shared" si="29"/>
        <v>25</v>
      </c>
      <c r="M123" s="110">
        <f>-0.0000002*F123^2+0.00005*F123+0.0132</f>
        <v>1.3679999999999999E-2</v>
      </c>
      <c r="N123" s="111">
        <f>0.88*(H123/150)+0.12</f>
        <v>1</v>
      </c>
      <c r="O123" s="111">
        <f>0.3551*(G123/F123)^2+0.5449*(G123/F123)+0.1</f>
        <v>1.0000000000000002</v>
      </c>
      <c r="P123" s="80">
        <f>F123*I123*M123*N123*O123+J123-2</f>
        <v>20.736000000000001</v>
      </c>
      <c r="Q123" s="80">
        <f t="shared" ref="Q123:Q128" si="49">P123+10</f>
        <v>30.736000000000001</v>
      </c>
      <c r="R123" s="81">
        <f t="shared" si="45"/>
        <v>20.736000000000001</v>
      </c>
      <c r="S123" s="81">
        <f t="shared" si="45"/>
        <v>30.736000000000001</v>
      </c>
      <c r="T123" s="82">
        <f t="shared" si="33"/>
        <v>69.32480000000001</v>
      </c>
      <c r="U123" s="82">
        <f t="shared" si="33"/>
        <v>87.32480000000001</v>
      </c>
      <c r="V123" s="83">
        <f t="shared" si="41"/>
        <v>25</v>
      </c>
      <c r="W123" s="84">
        <f t="shared" si="42"/>
        <v>45.736000000000004</v>
      </c>
      <c r="X123" s="84">
        <f t="shared" si="34"/>
        <v>55.736000000000004</v>
      </c>
      <c r="Y123" s="84">
        <f t="shared" si="40"/>
        <v>114.32480000000001</v>
      </c>
      <c r="Z123" s="84">
        <f t="shared" si="40"/>
        <v>132.32480000000001</v>
      </c>
      <c r="AA123" s="85">
        <f t="shared" si="35"/>
        <v>114.32480000000001</v>
      </c>
      <c r="AB123" s="86">
        <f t="shared" si="35"/>
        <v>132.32480000000001</v>
      </c>
      <c r="AC123" s="86">
        <f t="shared" si="36"/>
        <v>45.736000000000011</v>
      </c>
      <c r="AD123" s="86">
        <f t="shared" si="36"/>
        <v>55.736000000000011</v>
      </c>
      <c r="AE123" s="62" t="str">
        <f t="shared" si="46"/>
        <v/>
      </c>
      <c r="AF123" s="62" t="str">
        <f t="shared" si="47"/>
        <v/>
      </c>
      <c r="AG123" s="50">
        <v>1</v>
      </c>
      <c r="AH123" s="87" t="s">
        <v>219</v>
      </c>
      <c r="AN123" s="88">
        <v>33</v>
      </c>
      <c r="AO123" s="88">
        <v>43</v>
      </c>
    </row>
    <row r="124" spans="1:41" ht="15" hidden="1" customHeight="1" x14ac:dyDescent="0.25">
      <c r="A124" s="38" t="str">
        <f t="shared" si="48"/>
        <v>TU 1500</v>
      </c>
      <c r="C124" s="70">
        <v>1500</v>
      </c>
      <c r="D124" s="71">
        <v>1500</v>
      </c>
      <c r="E124" s="109"/>
      <c r="F124" s="72">
        <f>Calculator!$M$2</f>
        <v>10</v>
      </c>
      <c r="G124" s="73">
        <f>Fjäderkurva!$D$14</f>
        <v>10</v>
      </c>
      <c r="H124" s="73">
        <f>Fjäderkurva!$D$19</f>
        <v>150</v>
      </c>
      <c r="I124" s="73">
        <f>Calculator!$X$19</f>
        <v>20</v>
      </c>
      <c r="J124" s="74">
        <f>Calculator!$X$20</f>
        <v>20</v>
      </c>
      <c r="K124" s="97">
        <v>77</v>
      </c>
      <c r="L124" s="98">
        <f t="shared" si="29"/>
        <v>25</v>
      </c>
      <c r="M124" s="110">
        <f>-0.00000015*F124^2+0.000027*F124+0.0145</f>
        <v>1.4755000000000001E-2</v>
      </c>
      <c r="N124" s="111">
        <f>0.88*(H124/150)+0.12</f>
        <v>1</v>
      </c>
      <c r="O124" s="111">
        <f>0.82*(G124/F124)^2+0.075*(G124/F124)+0.1</f>
        <v>0.99499999999999988</v>
      </c>
      <c r="P124" s="80">
        <f>F124*I124*M124*N124*O124+J124</f>
        <v>22.936245</v>
      </c>
      <c r="Q124" s="80">
        <f t="shared" si="49"/>
        <v>32.936245</v>
      </c>
      <c r="R124" s="81">
        <f t="shared" si="45"/>
        <v>22.936245</v>
      </c>
      <c r="S124" s="81">
        <f t="shared" si="45"/>
        <v>32.936245</v>
      </c>
      <c r="T124" s="82">
        <f t="shared" si="33"/>
        <v>73.285240999999999</v>
      </c>
      <c r="U124" s="82">
        <f t="shared" si="33"/>
        <v>91.285240999999999</v>
      </c>
      <c r="V124" s="83">
        <f t="shared" si="41"/>
        <v>25</v>
      </c>
      <c r="W124" s="84">
        <f t="shared" si="42"/>
        <v>47.936245</v>
      </c>
      <c r="X124" s="84">
        <f t="shared" si="34"/>
        <v>57.936245</v>
      </c>
      <c r="Y124" s="84">
        <f t="shared" si="40"/>
        <v>118.285241</v>
      </c>
      <c r="Z124" s="84">
        <f t="shared" si="40"/>
        <v>136.28524099999998</v>
      </c>
      <c r="AA124" s="85">
        <f t="shared" si="35"/>
        <v>118.285241</v>
      </c>
      <c r="AB124" s="86">
        <f t="shared" si="35"/>
        <v>136.28524099999998</v>
      </c>
      <c r="AC124" s="86">
        <f t="shared" si="36"/>
        <v>47.936245</v>
      </c>
      <c r="AD124" s="86">
        <f t="shared" si="36"/>
        <v>57.936244999999992</v>
      </c>
      <c r="AE124" s="62" t="str">
        <f t="shared" si="46"/>
        <v/>
      </c>
      <c r="AF124" s="62" t="str">
        <f t="shared" si="47"/>
        <v/>
      </c>
      <c r="AG124" s="50">
        <v>1</v>
      </c>
      <c r="AH124" s="87" t="s">
        <v>219</v>
      </c>
      <c r="AN124" s="88">
        <v>38</v>
      </c>
      <c r="AO124" s="88">
        <v>48</v>
      </c>
    </row>
    <row r="125" spans="1:41" ht="15" hidden="1" customHeight="1" x14ac:dyDescent="0.25">
      <c r="A125" s="38" t="str">
        <f t="shared" si="48"/>
        <v>TU 3000</v>
      </c>
      <c r="C125" s="70">
        <v>3000</v>
      </c>
      <c r="D125" s="71">
        <v>3000</v>
      </c>
      <c r="E125" s="109"/>
      <c r="F125" s="72">
        <f>Calculator!$M$2</f>
        <v>10</v>
      </c>
      <c r="G125" s="73">
        <f>Fjäderkurva!$D$14</f>
        <v>10</v>
      </c>
      <c r="H125" s="73">
        <f>Fjäderkurva!$D$19</f>
        <v>150</v>
      </c>
      <c r="I125" s="73">
        <f>Calculator!$X$19</f>
        <v>20</v>
      </c>
      <c r="J125" s="74">
        <f>Calculator!$X$20</f>
        <v>20</v>
      </c>
      <c r="K125" s="97">
        <v>77</v>
      </c>
      <c r="L125" s="98">
        <f t="shared" si="29"/>
        <v>25</v>
      </c>
      <c r="M125" s="110">
        <f>0.00000005*F125^2-0.000034*F125+0.0186</f>
        <v>1.8265E-2</v>
      </c>
      <c r="N125" s="111">
        <f>0.75*(H125/150)+0.25</f>
        <v>1</v>
      </c>
      <c r="O125" s="111">
        <f>0.82*(G125/F125)^2+0.075*(G125/F125)+0.1</f>
        <v>0.99499999999999988</v>
      </c>
      <c r="P125" s="80">
        <f>F125*I125*M125*N125*O125+J125</f>
        <v>23.634734999999999</v>
      </c>
      <c r="Q125" s="80">
        <f t="shared" si="49"/>
        <v>33.634734999999999</v>
      </c>
      <c r="R125" s="81">
        <f t="shared" si="45"/>
        <v>23.634734999999999</v>
      </c>
      <c r="S125" s="81">
        <f t="shared" si="45"/>
        <v>33.634734999999999</v>
      </c>
      <c r="T125" s="82">
        <f t="shared" si="33"/>
        <v>74.542523000000003</v>
      </c>
      <c r="U125" s="82">
        <f t="shared" si="33"/>
        <v>92.542523000000003</v>
      </c>
      <c r="V125" s="83">
        <f t="shared" si="41"/>
        <v>25</v>
      </c>
      <c r="W125" s="84">
        <f t="shared" si="42"/>
        <v>48.634734999999999</v>
      </c>
      <c r="X125" s="84">
        <f t="shared" si="34"/>
        <v>58.634734999999999</v>
      </c>
      <c r="Y125" s="84">
        <f t="shared" si="40"/>
        <v>119.542523</v>
      </c>
      <c r="Z125" s="84">
        <f t="shared" si="40"/>
        <v>137.54252300000002</v>
      </c>
      <c r="AA125" s="85">
        <f t="shared" si="35"/>
        <v>119.542523</v>
      </c>
      <c r="AB125" s="86">
        <f t="shared" si="35"/>
        <v>137.54252300000002</v>
      </c>
      <c r="AC125" s="86">
        <f t="shared" si="36"/>
        <v>48.634735000000006</v>
      </c>
      <c r="AD125" s="86">
        <f t="shared" si="36"/>
        <v>58.634735000000013</v>
      </c>
      <c r="AE125" s="62" t="str">
        <f t="shared" si="46"/>
        <v/>
      </c>
      <c r="AF125" s="62" t="str">
        <f t="shared" si="47"/>
        <v/>
      </c>
      <c r="AG125" s="50">
        <v>1</v>
      </c>
      <c r="AH125" s="87" t="s">
        <v>219</v>
      </c>
      <c r="AN125" s="88">
        <v>38</v>
      </c>
      <c r="AO125" s="88">
        <v>48</v>
      </c>
    </row>
    <row r="126" spans="1:41" ht="15" hidden="1" customHeight="1" x14ac:dyDescent="0.25">
      <c r="A126" s="38" t="str">
        <f t="shared" si="48"/>
        <v>TU 5000</v>
      </c>
      <c r="C126" s="70">
        <v>5000</v>
      </c>
      <c r="D126" s="71">
        <v>5000</v>
      </c>
      <c r="E126" s="109"/>
      <c r="F126" s="72">
        <f>Calculator!$M$2</f>
        <v>10</v>
      </c>
      <c r="G126" s="73">
        <f>Fjäderkurva!$D$14</f>
        <v>10</v>
      </c>
      <c r="H126" s="73">
        <f>Fjäderkurva!$D$19</f>
        <v>150</v>
      </c>
      <c r="I126" s="73">
        <f>Calculator!$X$19</f>
        <v>20</v>
      </c>
      <c r="J126" s="74">
        <f>Calculator!$X$20</f>
        <v>20</v>
      </c>
      <c r="K126" s="97">
        <v>77</v>
      </c>
      <c r="L126" s="98">
        <f t="shared" si="29"/>
        <v>25</v>
      </c>
      <c r="M126" s="110">
        <f>-0.000003*F126+0.0155</f>
        <v>1.5469999999999999E-2</v>
      </c>
      <c r="N126" s="111">
        <f>0.89*(H126/150)+0.11</f>
        <v>1</v>
      </c>
      <c r="O126" s="111">
        <f>0.82*(G126/F126)^2+0.075*(G126/F126)+0.1</f>
        <v>0.99499999999999988</v>
      </c>
      <c r="P126" s="80">
        <f>F126*I126*M126*N126*O126+J126</f>
        <v>23.078530000000001</v>
      </c>
      <c r="Q126" s="80">
        <f t="shared" si="49"/>
        <v>33.078530000000001</v>
      </c>
      <c r="R126" s="81">
        <f t="shared" si="45"/>
        <v>23.078530000000001</v>
      </c>
      <c r="S126" s="81">
        <f t="shared" si="45"/>
        <v>33.078530000000001</v>
      </c>
      <c r="T126" s="82">
        <f t="shared" si="33"/>
        <v>73.541354000000013</v>
      </c>
      <c r="U126" s="82">
        <f t="shared" si="33"/>
        <v>91.541354000000013</v>
      </c>
      <c r="V126" s="83">
        <f t="shared" si="41"/>
        <v>25</v>
      </c>
      <c r="W126" s="84">
        <f t="shared" si="42"/>
        <v>48.078530000000001</v>
      </c>
      <c r="X126" s="84">
        <f t="shared" si="34"/>
        <v>58.078530000000001</v>
      </c>
      <c r="Y126" s="84">
        <f t="shared" si="40"/>
        <v>118.541354</v>
      </c>
      <c r="Z126" s="84">
        <f t="shared" si="40"/>
        <v>136.54135400000001</v>
      </c>
      <c r="AA126" s="85">
        <f t="shared" si="35"/>
        <v>118.541354</v>
      </c>
      <c r="AB126" s="86">
        <f t="shared" si="35"/>
        <v>136.54135400000001</v>
      </c>
      <c r="AC126" s="86">
        <f t="shared" si="36"/>
        <v>48.078530000000001</v>
      </c>
      <c r="AD126" s="86">
        <f t="shared" si="36"/>
        <v>58.078530000000008</v>
      </c>
      <c r="AE126" s="62" t="str">
        <f t="shared" si="46"/>
        <v/>
      </c>
      <c r="AF126" s="62" t="str">
        <f t="shared" si="47"/>
        <v/>
      </c>
      <c r="AG126" s="50">
        <v>1</v>
      </c>
      <c r="AH126" s="87" t="s">
        <v>219</v>
      </c>
      <c r="AN126" s="88">
        <v>38</v>
      </c>
      <c r="AO126" s="88">
        <v>48</v>
      </c>
    </row>
    <row r="127" spans="1:41" ht="15" hidden="1" customHeight="1" x14ac:dyDescent="0.25">
      <c r="A127" s="38" t="str">
        <f t="shared" si="48"/>
        <v>TU 7500</v>
      </c>
      <c r="C127" s="70">
        <v>7500</v>
      </c>
      <c r="D127" s="71">
        <v>7500</v>
      </c>
      <c r="E127" s="109"/>
      <c r="F127" s="72">
        <f>Calculator!$M$2</f>
        <v>10</v>
      </c>
      <c r="G127" s="73">
        <f>Fjäderkurva!$D$14</f>
        <v>10</v>
      </c>
      <c r="H127" s="73">
        <f>Fjäderkurva!$D$19</f>
        <v>150</v>
      </c>
      <c r="I127" s="73">
        <f>Calculator!$X$19</f>
        <v>20</v>
      </c>
      <c r="J127" s="74">
        <f>Calculator!$X$20</f>
        <v>20</v>
      </c>
      <c r="K127" s="97">
        <v>77</v>
      </c>
      <c r="L127" s="98">
        <f t="shared" si="29"/>
        <v>25</v>
      </c>
      <c r="M127" s="110">
        <f>-0.000018*F127+0.025</f>
        <v>2.4820000000000002E-2</v>
      </c>
      <c r="N127" s="111">
        <f>0.85*(H127/150)+0.15</f>
        <v>1</v>
      </c>
      <c r="O127" s="111">
        <f>0.82*(G127/F127)^2+0.075*(G127/F127)+0.1</f>
        <v>0.99499999999999988</v>
      </c>
      <c r="P127" s="80">
        <f>F127*I127*M127*N127*O127+J127</f>
        <v>24.93918</v>
      </c>
      <c r="Q127" s="80">
        <f t="shared" si="49"/>
        <v>34.93918</v>
      </c>
      <c r="R127" s="81">
        <f t="shared" si="45"/>
        <v>24.93918</v>
      </c>
      <c r="S127" s="81">
        <f t="shared" si="45"/>
        <v>34.93918</v>
      </c>
      <c r="T127" s="82">
        <f t="shared" si="33"/>
        <v>76.890523999999999</v>
      </c>
      <c r="U127" s="82">
        <f t="shared" si="33"/>
        <v>94.890523999999999</v>
      </c>
      <c r="V127" s="83">
        <f t="shared" si="41"/>
        <v>25</v>
      </c>
      <c r="W127" s="84">
        <f t="shared" si="42"/>
        <v>49.93918</v>
      </c>
      <c r="X127" s="84">
        <f t="shared" si="34"/>
        <v>59.93918</v>
      </c>
      <c r="Y127" s="84">
        <f t="shared" si="40"/>
        <v>121.890524</v>
      </c>
      <c r="Z127" s="84">
        <f t="shared" si="40"/>
        <v>139.890524</v>
      </c>
      <c r="AA127" s="85">
        <f t="shared" si="35"/>
        <v>121.890524</v>
      </c>
      <c r="AB127" s="86">
        <f t="shared" si="35"/>
        <v>139.890524</v>
      </c>
      <c r="AC127" s="86">
        <f t="shared" si="36"/>
        <v>49.93918</v>
      </c>
      <c r="AD127" s="86">
        <f t="shared" si="36"/>
        <v>59.93918</v>
      </c>
      <c r="AE127" s="62" t="str">
        <f t="shared" si="46"/>
        <v/>
      </c>
      <c r="AF127" s="62" t="str">
        <f t="shared" si="47"/>
        <v/>
      </c>
      <c r="AG127" s="50">
        <v>1</v>
      </c>
      <c r="AH127" s="87" t="s">
        <v>219</v>
      </c>
      <c r="AN127" s="88">
        <v>44</v>
      </c>
      <c r="AO127" s="88">
        <v>54</v>
      </c>
    </row>
    <row r="128" spans="1:41" ht="15" hidden="1" customHeight="1" x14ac:dyDescent="0.25">
      <c r="A128" s="38" t="str">
        <f t="shared" si="48"/>
        <v>TU 10000</v>
      </c>
      <c r="C128" s="70">
        <v>10000</v>
      </c>
      <c r="D128" s="71">
        <v>10000</v>
      </c>
      <c r="E128" s="109"/>
      <c r="F128" s="72">
        <f>Calculator!$M$2</f>
        <v>10</v>
      </c>
      <c r="G128" s="73">
        <f>Fjäderkurva!$D$14</f>
        <v>10</v>
      </c>
      <c r="H128" s="73">
        <f>Fjäderkurva!$D$19</f>
        <v>150</v>
      </c>
      <c r="I128" s="73">
        <f>Calculator!$X$19</f>
        <v>20</v>
      </c>
      <c r="J128" s="74">
        <f>Calculator!$X$20</f>
        <v>20</v>
      </c>
      <c r="K128" s="97">
        <v>77</v>
      </c>
      <c r="L128" s="98">
        <f t="shared" si="29"/>
        <v>25</v>
      </c>
      <c r="M128" s="110">
        <f>-0.00000004*F128^2+0.000015*F128+0.0145</f>
        <v>1.4646000000000001E-2</v>
      </c>
      <c r="N128" s="111">
        <f>0.9*(H128/150)+0.1</f>
        <v>1</v>
      </c>
      <c r="O128" s="111">
        <f>0.82*(G128/F128)^2+0.075*(G128/F128)+0.1</f>
        <v>0.99499999999999988</v>
      </c>
      <c r="P128" s="80">
        <f>F128*I128*M128*N128*O128+J128</f>
        <v>22.914553999999999</v>
      </c>
      <c r="Q128" s="80">
        <f t="shared" si="49"/>
        <v>32.914553999999995</v>
      </c>
      <c r="R128" s="81">
        <f t="shared" si="45"/>
        <v>22.914553999999999</v>
      </c>
      <c r="S128" s="81">
        <f t="shared" si="45"/>
        <v>32.914553999999995</v>
      </c>
      <c r="T128" s="82">
        <f t="shared" si="33"/>
        <v>73.246197199999997</v>
      </c>
      <c r="U128" s="82">
        <f t="shared" si="33"/>
        <v>91.246197199999983</v>
      </c>
      <c r="V128" s="83">
        <f t="shared" si="41"/>
        <v>25</v>
      </c>
      <c r="W128" s="84">
        <f t="shared" si="42"/>
        <v>47.914553999999995</v>
      </c>
      <c r="X128" s="84">
        <f t="shared" si="34"/>
        <v>57.914553999999995</v>
      </c>
      <c r="Y128" s="84">
        <f t="shared" si="40"/>
        <v>118.2461972</v>
      </c>
      <c r="Z128" s="84">
        <f t="shared" si="40"/>
        <v>136.24619719999998</v>
      </c>
      <c r="AA128" s="85">
        <f t="shared" si="35"/>
        <v>118.2461972</v>
      </c>
      <c r="AB128" s="86">
        <f t="shared" si="35"/>
        <v>136.24619719999998</v>
      </c>
      <c r="AC128" s="86">
        <f t="shared" si="36"/>
        <v>47.914554000000003</v>
      </c>
      <c r="AD128" s="86">
        <f t="shared" si="36"/>
        <v>57.914553999999995</v>
      </c>
      <c r="AE128" s="62" t="str">
        <f t="shared" si="46"/>
        <v/>
      </c>
      <c r="AF128" s="62" t="str">
        <f t="shared" si="47"/>
        <v/>
      </c>
      <c r="AG128" s="50">
        <v>1</v>
      </c>
      <c r="AH128" s="87" t="s">
        <v>219</v>
      </c>
      <c r="AN128" s="88">
        <v>38</v>
      </c>
      <c r="AO128" s="88">
        <v>48</v>
      </c>
    </row>
    <row r="129" spans="1:41" ht="15" hidden="1" customHeight="1" x14ac:dyDescent="0.25">
      <c r="L129" s="90"/>
      <c r="M129" s="58"/>
      <c r="N129" s="58"/>
      <c r="O129" s="58"/>
      <c r="T129" s="91"/>
      <c r="U129" s="91"/>
      <c r="V129" s="92"/>
      <c r="W129" s="92"/>
      <c r="X129" s="92"/>
      <c r="Y129" s="92"/>
      <c r="Z129" s="92"/>
      <c r="AC129" s="93"/>
      <c r="AD129" s="93"/>
      <c r="AE129" s="62"/>
      <c r="AF129" s="62"/>
      <c r="AG129" s="50"/>
      <c r="AH129" s="51"/>
      <c r="AN129" s="88"/>
      <c r="AO129" s="88"/>
    </row>
    <row r="130" spans="1:41" ht="15" hidden="1" customHeight="1" x14ac:dyDescent="0.25">
      <c r="L130" s="90"/>
      <c r="M130" s="58"/>
      <c r="N130" s="58"/>
      <c r="O130" s="58"/>
      <c r="T130" s="91"/>
      <c r="U130" s="91"/>
      <c r="V130" s="92"/>
      <c r="W130" s="92"/>
      <c r="X130" s="92"/>
      <c r="Y130" s="92"/>
      <c r="Z130" s="92"/>
      <c r="AC130" s="93"/>
      <c r="AD130" s="93"/>
      <c r="AE130" s="62"/>
      <c r="AF130" s="62"/>
      <c r="AG130" s="50"/>
      <c r="AH130" s="51"/>
      <c r="AN130" s="88"/>
      <c r="AO130" s="88"/>
    </row>
    <row r="131" spans="1:41" ht="15" hidden="1" customHeight="1" x14ac:dyDescent="0.25">
      <c r="C131" s="132" t="s">
        <v>254</v>
      </c>
      <c r="D131" s="54" t="s">
        <v>72</v>
      </c>
      <c r="F131" s="55" t="s">
        <v>175</v>
      </c>
      <c r="G131" s="55" t="s">
        <v>176</v>
      </c>
      <c r="H131" s="55" t="s">
        <v>177</v>
      </c>
      <c r="I131" s="55" t="s">
        <v>178</v>
      </c>
      <c r="J131" s="55" t="s">
        <v>179</v>
      </c>
      <c r="K131" s="56" t="s">
        <v>179</v>
      </c>
      <c r="L131" s="57" t="s">
        <v>179</v>
      </c>
      <c r="M131" s="65"/>
      <c r="N131" s="65"/>
      <c r="O131" s="65"/>
      <c r="P131" s="59" t="s">
        <v>180</v>
      </c>
      <c r="R131" s="59" t="str">
        <f>P131</f>
        <v>Estimated running</v>
      </c>
      <c r="V131" s="60" t="s">
        <v>181</v>
      </c>
      <c r="Y131" s="61"/>
      <c r="AB131" s="33" t="str">
        <f>P131</f>
        <v>Estimated running</v>
      </c>
      <c r="AC131" s="93"/>
      <c r="AD131" s="93"/>
      <c r="AE131" s="62"/>
      <c r="AF131" s="62"/>
      <c r="AG131" s="50">
        <v>1</v>
      </c>
      <c r="AH131" s="51"/>
      <c r="AN131" s="88"/>
      <c r="AO131" s="88"/>
    </row>
    <row r="132" spans="1:41" ht="15" hidden="1" customHeight="1" x14ac:dyDescent="0.25">
      <c r="D132" s="54"/>
      <c r="E132" s="64"/>
      <c r="F132" s="55"/>
      <c r="G132" s="55" t="s">
        <v>182</v>
      </c>
      <c r="H132" s="55"/>
      <c r="I132" s="55"/>
      <c r="J132" s="55" t="s">
        <v>183</v>
      </c>
      <c r="K132" s="56" t="s">
        <v>183</v>
      </c>
      <c r="L132" s="57" t="s">
        <v>183</v>
      </c>
      <c r="M132" s="65" t="s">
        <v>186</v>
      </c>
      <c r="N132" s="65" t="s">
        <v>210</v>
      </c>
      <c r="O132" s="65" t="s">
        <v>211</v>
      </c>
      <c r="P132" s="59" t="s">
        <v>187</v>
      </c>
      <c r="R132" s="59" t="str">
        <f>P132</f>
        <v>temperature between:</v>
      </c>
      <c r="V132" s="66" t="s">
        <v>188</v>
      </c>
      <c r="Y132" s="61"/>
      <c r="AB132" s="33" t="str">
        <f>P132</f>
        <v>temperature between:</v>
      </c>
      <c r="AC132" s="93"/>
      <c r="AD132" s="93"/>
      <c r="AE132" s="62"/>
      <c r="AF132" s="62"/>
      <c r="AG132" s="50">
        <v>1</v>
      </c>
      <c r="AH132" s="51"/>
      <c r="AN132" s="88"/>
      <c r="AO132" s="88"/>
    </row>
    <row r="133" spans="1:41" ht="15" hidden="1" customHeight="1" x14ac:dyDescent="0.25">
      <c r="D133" s="68" t="s">
        <v>189</v>
      </c>
      <c r="E133" s="69"/>
      <c r="F133" s="55"/>
      <c r="G133" s="55" t="s">
        <v>190</v>
      </c>
      <c r="H133" s="55" t="s">
        <v>191</v>
      </c>
      <c r="I133" s="55" t="s">
        <v>192</v>
      </c>
      <c r="J133" s="55" t="s">
        <v>193</v>
      </c>
      <c r="K133" s="56" t="s">
        <v>194</v>
      </c>
      <c r="L133" s="57" t="s">
        <v>193</v>
      </c>
      <c r="M133" s="65" t="s">
        <v>212</v>
      </c>
      <c r="N133" s="65" t="s">
        <v>213</v>
      </c>
      <c r="O133" s="65" t="s">
        <v>214</v>
      </c>
      <c r="P133" s="29" t="s">
        <v>193</v>
      </c>
      <c r="Q133" s="29" t="s">
        <v>193</v>
      </c>
      <c r="R133" s="29" t="str">
        <f>P133</f>
        <v>[°C]</v>
      </c>
      <c r="S133" s="29" t="str">
        <f>Q133</f>
        <v>[°C]</v>
      </c>
      <c r="T133" s="31" t="s">
        <v>198</v>
      </c>
      <c r="U133" s="31" t="s">
        <v>199</v>
      </c>
      <c r="V133" s="66" t="s">
        <v>200</v>
      </c>
      <c r="W133" s="60" t="s">
        <v>201</v>
      </c>
      <c r="X133" s="60" t="s">
        <v>202</v>
      </c>
      <c r="Y133" s="60" t="s">
        <v>203</v>
      </c>
      <c r="Z133" s="60" t="s">
        <v>204</v>
      </c>
      <c r="AA133" s="26" t="s">
        <v>194</v>
      </c>
      <c r="AB133" s="26" t="s">
        <v>194</v>
      </c>
      <c r="AC133" s="26" t="s">
        <v>193</v>
      </c>
      <c r="AD133" s="26" t="s">
        <v>193</v>
      </c>
      <c r="AE133" s="62"/>
      <c r="AF133" s="62"/>
      <c r="AG133" s="50">
        <v>1</v>
      </c>
      <c r="AH133" s="51"/>
      <c r="AN133" s="88"/>
      <c r="AO133" s="88"/>
    </row>
    <row r="134" spans="1:41" ht="15" hidden="1" customHeight="1" x14ac:dyDescent="0.25">
      <c r="A134" s="38" t="str">
        <f>CONCATENATE("TUR"," ",D134)</f>
        <v>TUR 10000</v>
      </c>
      <c r="D134" s="71">
        <v>10000</v>
      </c>
      <c r="F134" s="72">
        <f>Calculator!$M$2</f>
        <v>10</v>
      </c>
      <c r="G134" s="73">
        <f>Fjäderkurva!$D$14</f>
        <v>10</v>
      </c>
      <c r="H134" s="73">
        <f>Fjäderkurva!$D$19</f>
        <v>150</v>
      </c>
      <c r="I134" s="73">
        <f>Calculator!$X$19</f>
        <v>20</v>
      </c>
      <c r="J134" s="74">
        <f>Calculator!$X$20</f>
        <v>20</v>
      </c>
      <c r="K134" s="97">
        <v>77</v>
      </c>
      <c r="L134" s="98">
        <f t="shared" si="29"/>
        <v>25</v>
      </c>
      <c r="M134" s="101">
        <f>-0.00000004*F134^2+0.000015*F134+0.0145</f>
        <v>1.4646000000000001E-2</v>
      </c>
      <c r="N134" s="79">
        <f>0.9*(H134/150)+0.1</f>
        <v>1</v>
      </c>
      <c r="O134" s="79">
        <f>0.82*(G134/F134)^2+0.075*(G134/F134)+0.1</f>
        <v>0.99499999999999988</v>
      </c>
      <c r="P134" s="80">
        <f>F134*I134*M134*N134*O134+J134</f>
        <v>22.914553999999999</v>
      </c>
      <c r="Q134" s="80">
        <f>P134+10</f>
        <v>32.914553999999995</v>
      </c>
      <c r="R134" s="81">
        <f>P134</f>
        <v>22.914553999999999</v>
      </c>
      <c r="S134" s="81">
        <f>Q134</f>
        <v>32.914553999999995</v>
      </c>
      <c r="T134" s="82">
        <f t="shared" si="33"/>
        <v>73.246197199999997</v>
      </c>
      <c r="U134" s="82">
        <f t="shared" si="33"/>
        <v>91.246197199999983</v>
      </c>
      <c r="V134" s="83">
        <f t="shared" si="41"/>
        <v>25</v>
      </c>
      <c r="W134" s="84">
        <f t="shared" si="42"/>
        <v>47.914553999999995</v>
      </c>
      <c r="X134" s="84">
        <f t="shared" si="34"/>
        <v>57.914553999999995</v>
      </c>
      <c r="Y134" s="84">
        <f t="shared" si="40"/>
        <v>118.2461972</v>
      </c>
      <c r="Z134" s="84">
        <f t="shared" si="40"/>
        <v>136.24619719999998</v>
      </c>
      <c r="AA134" s="85">
        <f t="shared" si="35"/>
        <v>118.2461972</v>
      </c>
      <c r="AB134" s="86">
        <f t="shared" si="35"/>
        <v>136.24619719999998</v>
      </c>
      <c r="AC134" s="86">
        <f t="shared" si="36"/>
        <v>47.914554000000003</v>
      </c>
      <c r="AD134" s="86">
        <f t="shared" si="36"/>
        <v>57.914553999999995</v>
      </c>
      <c r="AE134" s="62" t="str">
        <f>IF(Q134&gt;80,"High temp. Please contact your distributor for advice",IF(H134&gt;150,"Too high charging pressure!",""))</f>
        <v/>
      </c>
      <c r="AF134" s="62" t="str">
        <f>AE134</f>
        <v/>
      </c>
      <c r="AG134" s="50">
        <v>1</v>
      </c>
      <c r="AH134" s="87" t="s">
        <v>221</v>
      </c>
      <c r="AN134" s="88">
        <v>38</v>
      </c>
      <c r="AO134" s="88">
        <v>48</v>
      </c>
    </row>
    <row r="135" spans="1:41" ht="15" hidden="1" customHeight="1" x14ac:dyDescent="0.25">
      <c r="L135" s="90"/>
      <c r="M135" s="58"/>
      <c r="N135" s="58"/>
      <c r="O135" s="58"/>
      <c r="T135" s="91"/>
      <c r="U135" s="91"/>
      <c r="V135" s="92"/>
      <c r="W135" s="92"/>
      <c r="X135" s="92"/>
      <c r="Y135" s="92"/>
      <c r="Z135" s="92"/>
      <c r="AC135" s="93"/>
      <c r="AD135" s="93"/>
      <c r="AE135" s="62"/>
      <c r="AF135" s="62"/>
      <c r="AG135" s="50"/>
      <c r="AH135" s="51"/>
      <c r="AN135" s="88"/>
      <c r="AO135" s="88"/>
    </row>
    <row r="136" spans="1:41" ht="15" hidden="1" customHeight="1" x14ac:dyDescent="0.25">
      <c r="L136" s="90"/>
      <c r="M136" s="58"/>
      <c r="N136" s="58"/>
      <c r="O136" s="58"/>
      <c r="T136" s="91"/>
      <c r="U136" s="91"/>
      <c r="V136" s="92"/>
      <c r="W136" s="92"/>
      <c r="X136" s="92"/>
      <c r="Y136" s="92"/>
      <c r="Z136" s="92"/>
      <c r="AC136" s="93"/>
      <c r="AD136" s="93"/>
      <c r="AE136" s="62"/>
      <c r="AF136" s="62"/>
      <c r="AG136" s="50"/>
      <c r="AH136" s="51"/>
      <c r="AN136" s="88"/>
      <c r="AO136" s="88"/>
    </row>
    <row r="137" spans="1:41" ht="15" hidden="1" customHeight="1" x14ac:dyDescent="0.25">
      <c r="C137" s="132" t="s">
        <v>254</v>
      </c>
      <c r="D137" s="54" t="s">
        <v>70</v>
      </c>
      <c r="F137" s="55" t="s">
        <v>175</v>
      </c>
      <c r="G137" s="55" t="s">
        <v>176</v>
      </c>
      <c r="H137" s="55" t="s">
        <v>177</v>
      </c>
      <c r="I137" s="55" t="s">
        <v>178</v>
      </c>
      <c r="J137" s="55" t="s">
        <v>179</v>
      </c>
      <c r="K137" s="56" t="s">
        <v>179</v>
      </c>
      <c r="L137" s="57" t="s">
        <v>179</v>
      </c>
      <c r="M137" s="65"/>
      <c r="N137" s="65"/>
      <c r="O137" s="65"/>
      <c r="P137" s="59" t="s">
        <v>180</v>
      </c>
      <c r="R137" s="59" t="str">
        <f t="shared" ref="R137:S144" si="50">P137</f>
        <v>Estimated running</v>
      </c>
      <c r="V137" s="60" t="s">
        <v>181</v>
      </c>
      <c r="Y137" s="61"/>
      <c r="AB137" s="33" t="str">
        <f>P137</f>
        <v>Estimated running</v>
      </c>
      <c r="AC137" s="93"/>
      <c r="AD137" s="93"/>
      <c r="AE137" s="62"/>
      <c r="AF137" s="62"/>
      <c r="AG137" s="50">
        <v>1</v>
      </c>
      <c r="AH137" s="51"/>
      <c r="AN137" s="88"/>
      <c r="AO137" s="88"/>
    </row>
    <row r="138" spans="1:41" ht="15" hidden="1" customHeight="1" x14ac:dyDescent="0.25">
      <c r="D138" s="54"/>
      <c r="E138" s="64"/>
      <c r="F138" s="55"/>
      <c r="G138" s="55" t="s">
        <v>182</v>
      </c>
      <c r="H138" s="55"/>
      <c r="I138" s="55"/>
      <c r="J138" s="55" t="s">
        <v>183</v>
      </c>
      <c r="K138" s="56" t="s">
        <v>183</v>
      </c>
      <c r="L138" s="57" t="s">
        <v>183</v>
      </c>
      <c r="M138" s="65" t="s">
        <v>186</v>
      </c>
      <c r="N138" s="65" t="s">
        <v>210</v>
      </c>
      <c r="O138" s="65" t="s">
        <v>211</v>
      </c>
      <c r="P138" s="59" t="s">
        <v>187</v>
      </c>
      <c r="R138" s="59" t="str">
        <f t="shared" si="50"/>
        <v>temperature between:</v>
      </c>
      <c r="V138" s="66" t="s">
        <v>188</v>
      </c>
      <c r="Y138" s="61"/>
      <c r="AB138" s="33" t="str">
        <f>P138</f>
        <v>temperature between:</v>
      </c>
      <c r="AC138" s="93"/>
      <c r="AD138" s="93"/>
      <c r="AE138" s="62"/>
      <c r="AF138" s="62"/>
      <c r="AG138" s="50">
        <v>1</v>
      </c>
      <c r="AH138" s="51"/>
      <c r="AN138" s="88"/>
      <c r="AO138" s="88"/>
    </row>
    <row r="139" spans="1:41" ht="15" hidden="1" customHeight="1" x14ac:dyDescent="0.25">
      <c r="D139" s="68" t="s">
        <v>189</v>
      </c>
      <c r="E139" s="69"/>
      <c r="F139" s="55"/>
      <c r="G139" s="55" t="s">
        <v>190</v>
      </c>
      <c r="H139" s="55" t="s">
        <v>191</v>
      </c>
      <c r="I139" s="55" t="s">
        <v>192</v>
      </c>
      <c r="J139" s="55" t="s">
        <v>193</v>
      </c>
      <c r="K139" s="56" t="s">
        <v>194</v>
      </c>
      <c r="L139" s="57" t="s">
        <v>193</v>
      </c>
      <c r="M139" s="65" t="s">
        <v>212</v>
      </c>
      <c r="N139" s="65" t="s">
        <v>213</v>
      </c>
      <c r="O139" s="65" t="s">
        <v>214</v>
      </c>
      <c r="P139" s="29" t="s">
        <v>193</v>
      </c>
      <c r="Q139" s="29" t="s">
        <v>193</v>
      </c>
      <c r="R139" s="29" t="str">
        <f t="shared" si="50"/>
        <v>[°C]</v>
      </c>
      <c r="S139" s="29" t="str">
        <f t="shared" si="50"/>
        <v>[°C]</v>
      </c>
      <c r="T139" s="31" t="s">
        <v>198</v>
      </c>
      <c r="U139" s="31" t="s">
        <v>199</v>
      </c>
      <c r="V139" s="66" t="s">
        <v>200</v>
      </c>
      <c r="W139" s="60" t="s">
        <v>201</v>
      </c>
      <c r="X139" s="60" t="s">
        <v>202</v>
      </c>
      <c r="Y139" s="60" t="s">
        <v>203</v>
      </c>
      <c r="Z139" s="60" t="s">
        <v>204</v>
      </c>
      <c r="AA139" s="26" t="s">
        <v>194</v>
      </c>
      <c r="AB139" s="26" t="s">
        <v>194</v>
      </c>
      <c r="AC139" s="26" t="s">
        <v>193</v>
      </c>
      <c r="AD139" s="26" t="s">
        <v>193</v>
      </c>
      <c r="AE139" s="62"/>
      <c r="AF139" s="62"/>
      <c r="AG139" s="50">
        <v>1</v>
      </c>
      <c r="AH139" s="51"/>
      <c r="AN139" s="88"/>
      <c r="AO139" s="88"/>
    </row>
    <row r="140" spans="1:41" ht="15" hidden="1" customHeight="1" x14ac:dyDescent="0.25">
      <c r="A140" s="38" t="str">
        <f>CONCATENATE("TUS"," ",D140)</f>
        <v>TUS 750</v>
      </c>
      <c r="D140" s="71">
        <v>750</v>
      </c>
      <c r="F140" s="72">
        <f>Calculator!$M$2</f>
        <v>10</v>
      </c>
      <c r="G140" s="73">
        <f>Fjäderkurva!$D$14</f>
        <v>10</v>
      </c>
      <c r="H140" s="73">
        <f>Fjäderkurva!$D$19</f>
        <v>150</v>
      </c>
      <c r="I140" s="73">
        <f>Calculator!$X$19</f>
        <v>20</v>
      </c>
      <c r="J140" s="74">
        <f>Calculator!$X$20</f>
        <v>20</v>
      </c>
      <c r="K140" s="97">
        <v>77</v>
      </c>
      <c r="L140" s="98">
        <f t="shared" ref="L140:L157" si="51">5/9*(K140-32)</f>
        <v>25</v>
      </c>
      <c r="M140" s="101">
        <f>-0.0000002*F140^2+0.00005*F140+0.0132</f>
        <v>1.3679999999999999E-2</v>
      </c>
      <c r="N140" s="79">
        <f>0.88*(H140/150)+0.12</f>
        <v>1</v>
      </c>
      <c r="O140" s="79">
        <f>0.3551*(G140/F140)^2+0.5449*(G140/F140)+0.1</f>
        <v>1.0000000000000002</v>
      </c>
      <c r="P140" s="80">
        <f>F140*I140*M140*N140*O140+J140-2</f>
        <v>20.736000000000001</v>
      </c>
      <c r="Q140" s="80">
        <f>P140+10</f>
        <v>30.736000000000001</v>
      </c>
      <c r="R140" s="81">
        <f t="shared" si="50"/>
        <v>20.736000000000001</v>
      </c>
      <c r="S140" s="81">
        <f t="shared" si="50"/>
        <v>30.736000000000001</v>
      </c>
      <c r="T140" s="82">
        <f t="shared" ref="T140:U157" si="52">9/5*R140+32</f>
        <v>69.32480000000001</v>
      </c>
      <c r="U140" s="82">
        <f t="shared" si="52"/>
        <v>87.32480000000001</v>
      </c>
      <c r="V140" s="83">
        <f t="shared" si="41"/>
        <v>25</v>
      </c>
      <c r="W140" s="84">
        <f t="shared" si="42"/>
        <v>45.736000000000004</v>
      </c>
      <c r="X140" s="84">
        <f t="shared" ref="X140:X157" si="53">W140+10</f>
        <v>55.736000000000004</v>
      </c>
      <c r="Y140" s="84">
        <f t="shared" si="40"/>
        <v>114.32480000000001</v>
      </c>
      <c r="Z140" s="84">
        <f t="shared" si="40"/>
        <v>132.32480000000001</v>
      </c>
      <c r="AA140" s="85">
        <f t="shared" ref="AA140:AB157" si="54">Y140</f>
        <v>114.32480000000001</v>
      </c>
      <c r="AB140" s="86">
        <f t="shared" si="54"/>
        <v>132.32480000000001</v>
      </c>
      <c r="AC140" s="86">
        <f t="shared" ref="AC140:AD157" si="55">5/9*(AA140-32)</f>
        <v>45.736000000000011</v>
      </c>
      <c r="AD140" s="86">
        <f t="shared" si="55"/>
        <v>55.736000000000011</v>
      </c>
      <c r="AE140" s="62" t="str">
        <f>IF(Q140&gt;80,"High temp. Please contact your distributor for advice",IF(H140&gt;150,"Too high charging pressure!",""))</f>
        <v/>
      </c>
      <c r="AF140" s="62" t="str">
        <f t="shared" ref="AF140:AF157" si="56">AE140</f>
        <v/>
      </c>
      <c r="AG140" s="50">
        <v>1</v>
      </c>
      <c r="AH140" s="87" t="s">
        <v>221</v>
      </c>
      <c r="AN140" s="88">
        <v>37</v>
      </c>
      <c r="AO140" s="88">
        <v>47</v>
      </c>
    </row>
    <row r="141" spans="1:41" ht="15" hidden="1" customHeight="1" x14ac:dyDescent="0.25">
      <c r="A141" s="38" t="str">
        <f t="shared" ref="A141:A144" si="57">CONCATENATE("TUS"," ",D141)</f>
        <v>TUS 1500</v>
      </c>
      <c r="D141" s="71">
        <v>1500</v>
      </c>
      <c r="F141" s="72">
        <f>Calculator!$M$2</f>
        <v>10</v>
      </c>
      <c r="G141" s="73">
        <f>Fjäderkurva!$D$14</f>
        <v>10</v>
      </c>
      <c r="H141" s="73">
        <f>Fjäderkurva!$D$19</f>
        <v>150</v>
      </c>
      <c r="I141" s="73">
        <f>Calculator!$X$19</f>
        <v>20</v>
      </c>
      <c r="J141" s="74">
        <f>Calculator!$X$20</f>
        <v>20</v>
      </c>
      <c r="K141" s="97">
        <v>77</v>
      </c>
      <c r="L141" s="98">
        <f t="shared" si="51"/>
        <v>25</v>
      </c>
      <c r="M141" s="101">
        <f>-0.00000015*F141^2+0.000027*F141+0.0145</f>
        <v>1.4755000000000001E-2</v>
      </c>
      <c r="N141" s="79">
        <f>0.88*(H141/150)+0.12</f>
        <v>1</v>
      </c>
      <c r="O141" s="79">
        <f>0.82*(G141/F141)^2+0.075*(G141/F141)+0.1</f>
        <v>0.99499999999999988</v>
      </c>
      <c r="P141" s="80">
        <f>F141*I141*M141*N141*O141+J141</f>
        <v>22.936245</v>
      </c>
      <c r="Q141" s="80">
        <f>P141+10</f>
        <v>32.936245</v>
      </c>
      <c r="R141" s="81">
        <f t="shared" si="50"/>
        <v>22.936245</v>
      </c>
      <c r="S141" s="81">
        <f t="shared" si="50"/>
        <v>32.936245</v>
      </c>
      <c r="T141" s="82">
        <f t="shared" si="52"/>
        <v>73.285240999999999</v>
      </c>
      <c r="U141" s="82">
        <f t="shared" si="52"/>
        <v>91.285240999999999</v>
      </c>
      <c r="V141" s="83">
        <f t="shared" si="41"/>
        <v>25</v>
      </c>
      <c r="W141" s="84">
        <f t="shared" si="42"/>
        <v>47.936245</v>
      </c>
      <c r="X141" s="84">
        <f t="shared" si="53"/>
        <v>57.936245</v>
      </c>
      <c r="Y141" s="84">
        <f t="shared" si="40"/>
        <v>118.285241</v>
      </c>
      <c r="Z141" s="84">
        <f t="shared" si="40"/>
        <v>136.28524099999998</v>
      </c>
      <c r="AA141" s="85">
        <f t="shared" si="54"/>
        <v>118.285241</v>
      </c>
      <c r="AB141" s="86">
        <f t="shared" si="54"/>
        <v>136.28524099999998</v>
      </c>
      <c r="AC141" s="86">
        <f t="shared" si="55"/>
        <v>47.936245</v>
      </c>
      <c r="AD141" s="86">
        <f t="shared" si="55"/>
        <v>57.936244999999992</v>
      </c>
      <c r="AE141" s="62" t="str">
        <f>IF(Q141&gt;80,"High temp. Please contact your distributor for advice",IF(H141&gt;150,"Too high charging pressure!",""))</f>
        <v/>
      </c>
      <c r="AF141" s="62" t="str">
        <f t="shared" si="56"/>
        <v/>
      </c>
      <c r="AG141" s="50">
        <v>1</v>
      </c>
      <c r="AH141" s="87" t="s">
        <v>221</v>
      </c>
      <c r="AN141" s="88">
        <v>38</v>
      </c>
      <c r="AO141" s="88">
        <v>48</v>
      </c>
    </row>
    <row r="142" spans="1:41" ht="15" hidden="1" customHeight="1" x14ac:dyDescent="0.25">
      <c r="A142" s="38" t="str">
        <f t="shared" si="57"/>
        <v>TUS 3000</v>
      </c>
      <c r="D142" s="71">
        <v>3000</v>
      </c>
      <c r="F142" s="72">
        <f>Calculator!$M$2</f>
        <v>10</v>
      </c>
      <c r="G142" s="73">
        <f>Fjäderkurva!$D$14</f>
        <v>10</v>
      </c>
      <c r="H142" s="73">
        <f>Fjäderkurva!$D$19</f>
        <v>150</v>
      </c>
      <c r="I142" s="73">
        <f>Calculator!$X$19</f>
        <v>20</v>
      </c>
      <c r="J142" s="74">
        <f>Calculator!$X$20</f>
        <v>20</v>
      </c>
      <c r="K142" s="97">
        <v>77</v>
      </c>
      <c r="L142" s="98">
        <f t="shared" si="51"/>
        <v>25</v>
      </c>
      <c r="M142" s="101">
        <f>0.00000005*F142^2-0.000034*F142+0.0186</f>
        <v>1.8265E-2</v>
      </c>
      <c r="N142" s="79">
        <f>0.75*(H142/150)+0.25</f>
        <v>1</v>
      </c>
      <c r="O142" s="79">
        <f>0.82*(G142/F142)^2+0.075*(G142/F142)+0.1</f>
        <v>0.99499999999999988</v>
      </c>
      <c r="P142" s="80">
        <f>F142*I142*M142*N142*O142+J142</f>
        <v>23.634734999999999</v>
      </c>
      <c r="Q142" s="80">
        <f>P142+10</f>
        <v>33.634734999999999</v>
      </c>
      <c r="R142" s="81">
        <f t="shared" si="50"/>
        <v>23.634734999999999</v>
      </c>
      <c r="S142" s="81">
        <f t="shared" si="50"/>
        <v>33.634734999999999</v>
      </c>
      <c r="T142" s="82">
        <f t="shared" si="52"/>
        <v>74.542523000000003</v>
      </c>
      <c r="U142" s="82">
        <f t="shared" si="52"/>
        <v>92.542523000000003</v>
      </c>
      <c r="V142" s="83">
        <f t="shared" si="41"/>
        <v>25</v>
      </c>
      <c r="W142" s="84">
        <f t="shared" si="42"/>
        <v>48.634734999999999</v>
      </c>
      <c r="X142" s="84">
        <f t="shared" si="53"/>
        <v>58.634734999999999</v>
      </c>
      <c r="Y142" s="84">
        <f t="shared" si="40"/>
        <v>119.542523</v>
      </c>
      <c r="Z142" s="84">
        <f t="shared" si="40"/>
        <v>137.54252300000002</v>
      </c>
      <c r="AA142" s="85">
        <f t="shared" si="54"/>
        <v>119.542523</v>
      </c>
      <c r="AB142" s="86">
        <f t="shared" si="54"/>
        <v>137.54252300000002</v>
      </c>
      <c r="AC142" s="86">
        <f t="shared" si="55"/>
        <v>48.634735000000006</v>
      </c>
      <c r="AD142" s="86">
        <f t="shared" si="55"/>
        <v>58.634735000000013</v>
      </c>
      <c r="AE142" s="62" t="str">
        <f>IF(Q142&gt;80,"High temp. Please contact your distributor for advice",IF(H142&gt;150,"Too high charging pressure!",""))</f>
        <v/>
      </c>
      <c r="AF142" s="62" t="str">
        <f t="shared" si="56"/>
        <v/>
      </c>
      <c r="AG142" s="50">
        <v>1</v>
      </c>
      <c r="AH142" s="87" t="s">
        <v>221</v>
      </c>
      <c r="AN142" s="88">
        <v>38</v>
      </c>
      <c r="AO142" s="88">
        <v>48</v>
      </c>
    </row>
    <row r="143" spans="1:41" ht="15" hidden="1" customHeight="1" x14ac:dyDescent="0.25">
      <c r="A143" s="38" t="str">
        <f t="shared" si="57"/>
        <v>TUS 5000</v>
      </c>
      <c r="D143" s="71">
        <v>5000</v>
      </c>
      <c r="F143" s="72">
        <f>Calculator!$M$2</f>
        <v>10</v>
      </c>
      <c r="G143" s="73">
        <f>Fjäderkurva!$D$14</f>
        <v>10</v>
      </c>
      <c r="H143" s="73">
        <f>Fjäderkurva!$D$19</f>
        <v>150</v>
      </c>
      <c r="I143" s="73">
        <f>Calculator!$X$19</f>
        <v>20</v>
      </c>
      <c r="J143" s="74">
        <f>Calculator!$X$20</f>
        <v>20</v>
      </c>
      <c r="K143" s="97">
        <v>77</v>
      </c>
      <c r="L143" s="98">
        <f t="shared" si="51"/>
        <v>25</v>
      </c>
      <c r="M143" s="101">
        <f>-0.000003*F143+0.0155</f>
        <v>1.5469999999999999E-2</v>
      </c>
      <c r="N143" s="79">
        <f>0.89*(H143/150)+0.11</f>
        <v>1</v>
      </c>
      <c r="O143" s="79">
        <f>0.82*(G143/F143)^2+0.075*(G143/F143)+0.1</f>
        <v>0.99499999999999988</v>
      </c>
      <c r="P143" s="80">
        <f>F143*I143*M143*N143*O143+J143</f>
        <v>23.078530000000001</v>
      </c>
      <c r="Q143" s="80">
        <f>P143+10</f>
        <v>33.078530000000001</v>
      </c>
      <c r="R143" s="81">
        <f t="shared" si="50"/>
        <v>23.078530000000001</v>
      </c>
      <c r="S143" s="81">
        <f t="shared" si="50"/>
        <v>33.078530000000001</v>
      </c>
      <c r="T143" s="82">
        <f t="shared" si="52"/>
        <v>73.541354000000013</v>
      </c>
      <c r="U143" s="82">
        <f t="shared" si="52"/>
        <v>91.541354000000013</v>
      </c>
      <c r="V143" s="83">
        <f t="shared" si="41"/>
        <v>25</v>
      </c>
      <c r="W143" s="84">
        <f t="shared" si="42"/>
        <v>48.078530000000001</v>
      </c>
      <c r="X143" s="84">
        <f t="shared" si="53"/>
        <v>58.078530000000001</v>
      </c>
      <c r="Y143" s="84">
        <f t="shared" si="40"/>
        <v>118.541354</v>
      </c>
      <c r="Z143" s="84">
        <f t="shared" si="40"/>
        <v>136.54135400000001</v>
      </c>
      <c r="AA143" s="85">
        <f t="shared" si="54"/>
        <v>118.541354</v>
      </c>
      <c r="AB143" s="86">
        <f t="shared" si="54"/>
        <v>136.54135400000001</v>
      </c>
      <c r="AC143" s="86">
        <f t="shared" si="55"/>
        <v>48.078530000000001</v>
      </c>
      <c r="AD143" s="86">
        <f t="shared" si="55"/>
        <v>58.078530000000008</v>
      </c>
      <c r="AE143" s="62" t="str">
        <f>IF(Q143&gt;80,"High temp. Please contact your distributor for advice",IF(H143&gt;150,"Too high charging pressure!",""))</f>
        <v/>
      </c>
      <c r="AF143" s="62" t="str">
        <f t="shared" si="56"/>
        <v/>
      </c>
      <c r="AG143" s="50">
        <v>1</v>
      </c>
      <c r="AH143" s="87" t="s">
        <v>221</v>
      </c>
      <c r="AN143" s="88">
        <v>38</v>
      </c>
      <c r="AO143" s="88">
        <v>48</v>
      </c>
    </row>
    <row r="144" spans="1:41" ht="15" hidden="1" customHeight="1" x14ac:dyDescent="0.25">
      <c r="A144" s="38" t="str">
        <f t="shared" si="57"/>
        <v>TUS 7500</v>
      </c>
      <c r="D144" s="71">
        <v>7500</v>
      </c>
      <c r="F144" s="72">
        <f>Calculator!$M$2</f>
        <v>10</v>
      </c>
      <c r="G144" s="73">
        <f>Fjäderkurva!$D$14</f>
        <v>10</v>
      </c>
      <c r="H144" s="73">
        <f>Fjäderkurva!$D$19</f>
        <v>150</v>
      </c>
      <c r="I144" s="73">
        <f>Calculator!$X$19</f>
        <v>20</v>
      </c>
      <c r="J144" s="74">
        <f>Calculator!$X$20</f>
        <v>20</v>
      </c>
      <c r="K144" s="97">
        <v>77</v>
      </c>
      <c r="L144" s="98">
        <f t="shared" si="51"/>
        <v>25</v>
      </c>
      <c r="M144" s="101">
        <f>-0.000018*F144+0.025</f>
        <v>2.4820000000000002E-2</v>
      </c>
      <c r="N144" s="79">
        <f>0.85*(H144/150)+0.15</f>
        <v>1</v>
      </c>
      <c r="O144" s="79">
        <f>0.82*(G144/F144)^2+0.075*(G144/F144)+0.1</f>
        <v>0.99499999999999988</v>
      </c>
      <c r="P144" s="80">
        <f>F144*I144*M144*N144*O144+J144</f>
        <v>24.93918</v>
      </c>
      <c r="Q144" s="80">
        <f>P144+10</f>
        <v>34.93918</v>
      </c>
      <c r="R144" s="81">
        <f t="shared" si="50"/>
        <v>24.93918</v>
      </c>
      <c r="S144" s="81">
        <f t="shared" si="50"/>
        <v>34.93918</v>
      </c>
      <c r="T144" s="82">
        <f t="shared" si="52"/>
        <v>76.890523999999999</v>
      </c>
      <c r="U144" s="82">
        <f t="shared" si="52"/>
        <v>94.890523999999999</v>
      </c>
      <c r="V144" s="83">
        <f t="shared" si="41"/>
        <v>25</v>
      </c>
      <c r="W144" s="84">
        <f t="shared" si="42"/>
        <v>49.93918</v>
      </c>
      <c r="X144" s="84">
        <f t="shared" si="53"/>
        <v>59.93918</v>
      </c>
      <c r="Y144" s="84">
        <f t="shared" si="40"/>
        <v>121.890524</v>
      </c>
      <c r="Z144" s="84">
        <f t="shared" si="40"/>
        <v>139.890524</v>
      </c>
      <c r="AA144" s="85">
        <f t="shared" si="54"/>
        <v>121.890524</v>
      </c>
      <c r="AB144" s="86">
        <f t="shared" si="54"/>
        <v>139.890524</v>
      </c>
      <c r="AC144" s="86">
        <f t="shared" si="55"/>
        <v>49.93918</v>
      </c>
      <c r="AD144" s="86">
        <f t="shared" si="55"/>
        <v>59.93918</v>
      </c>
      <c r="AE144" s="62" t="str">
        <f>IF(Q144&gt;80,"High temp. Please contact your distributor for advice",IF(H144&gt;150,"Too high charging pressure!",""))</f>
        <v/>
      </c>
      <c r="AF144" s="62" t="str">
        <f t="shared" si="56"/>
        <v/>
      </c>
      <c r="AG144" s="50">
        <v>1</v>
      </c>
      <c r="AH144" s="87" t="s">
        <v>221</v>
      </c>
      <c r="AN144" s="88">
        <v>44</v>
      </c>
      <c r="AO144" s="88">
        <v>54</v>
      </c>
    </row>
    <row r="145" spans="1:41" ht="15" hidden="1" customHeight="1" x14ac:dyDescent="0.25">
      <c r="L145" s="90"/>
      <c r="M145" s="58"/>
      <c r="N145" s="58"/>
      <c r="O145" s="58"/>
      <c r="T145" s="91"/>
      <c r="U145" s="91"/>
      <c r="V145" s="92"/>
      <c r="W145" s="92"/>
      <c r="X145" s="92"/>
      <c r="Y145" s="92"/>
      <c r="Z145" s="92"/>
      <c r="AC145" s="93"/>
      <c r="AD145" s="93"/>
      <c r="AE145" s="62"/>
      <c r="AF145" s="62"/>
      <c r="AG145" s="50"/>
      <c r="AH145" s="51"/>
      <c r="AN145" s="88"/>
      <c r="AO145" s="88"/>
    </row>
    <row r="146" spans="1:41" ht="15" hidden="1" customHeight="1" x14ac:dyDescent="0.25">
      <c r="L146" s="90"/>
      <c r="M146" s="58"/>
      <c r="N146" s="58"/>
      <c r="O146" s="58"/>
      <c r="T146" s="91"/>
      <c r="U146" s="91"/>
      <c r="V146" s="92"/>
      <c r="W146" s="92"/>
      <c r="X146" s="92"/>
      <c r="Y146" s="92"/>
      <c r="Z146" s="92"/>
      <c r="AC146" s="93"/>
      <c r="AD146" s="93"/>
      <c r="AE146" s="62"/>
      <c r="AF146" s="62"/>
      <c r="AG146" s="50"/>
      <c r="AH146" s="51"/>
      <c r="AN146" s="88"/>
      <c r="AO146" s="88"/>
    </row>
    <row r="147" spans="1:41" ht="15" hidden="1" customHeight="1" x14ac:dyDescent="0.25">
      <c r="C147" s="63" t="s">
        <v>255</v>
      </c>
      <c r="D147" s="54" t="s">
        <v>68</v>
      </c>
      <c r="F147" s="55" t="s">
        <v>175</v>
      </c>
      <c r="G147" s="55" t="s">
        <v>176</v>
      </c>
      <c r="H147" s="55" t="s">
        <v>177</v>
      </c>
      <c r="I147" s="55" t="s">
        <v>178</v>
      </c>
      <c r="J147" s="55" t="s">
        <v>179</v>
      </c>
      <c r="K147" s="56" t="s">
        <v>179</v>
      </c>
      <c r="L147" s="57" t="s">
        <v>179</v>
      </c>
      <c r="M147" s="65"/>
      <c r="N147" s="65" t="s">
        <v>256</v>
      </c>
      <c r="O147" s="65"/>
      <c r="P147" s="59" t="s">
        <v>180</v>
      </c>
      <c r="R147" s="59" t="str">
        <f>P147</f>
        <v>Estimated running</v>
      </c>
      <c r="V147" s="60" t="s">
        <v>181</v>
      </c>
      <c r="Y147" s="61"/>
      <c r="AB147" s="33" t="str">
        <f>P147</f>
        <v>Estimated running</v>
      </c>
      <c r="AC147" s="93"/>
      <c r="AD147" s="93"/>
      <c r="AE147" s="62"/>
      <c r="AF147" s="62"/>
      <c r="AG147" s="50">
        <v>1</v>
      </c>
      <c r="AH147" s="51"/>
      <c r="AN147" s="88"/>
      <c r="AO147" s="88"/>
    </row>
    <row r="148" spans="1:41" ht="15" hidden="1" customHeight="1" x14ac:dyDescent="0.25">
      <c r="D148" s="54"/>
      <c r="E148" s="64"/>
      <c r="F148" s="55"/>
      <c r="G148" s="55" t="s">
        <v>182</v>
      </c>
      <c r="H148" s="55"/>
      <c r="I148" s="55"/>
      <c r="J148" s="55" t="s">
        <v>183</v>
      </c>
      <c r="K148" s="56" t="s">
        <v>183</v>
      </c>
      <c r="L148" s="57" t="s">
        <v>183</v>
      </c>
      <c r="M148" s="65" t="s">
        <v>257</v>
      </c>
      <c r="N148" s="65" t="s">
        <v>223</v>
      </c>
      <c r="O148" s="65" t="s">
        <v>258</v>
      </c>
      <c r="P148" s="59" t="s">
        <v>187</v>
      </c>
      <c r="R148" s="59" t="str">
        <f>P148</f>
        <v>temperature between:</v>
      </c>
      <c r="V148" s="66" t="s">
        <v>188</v>
      </c>
      <c r="Y148" s="61"/>
      <c r="AB148" s="33" t="str">
        <f>P148</f>
        <v>temperature between:</v>
      </c>
      <c r="AC148" s="93"/>
      <c r="AD148" s="93"/>
      <c r="AE148" s="62"/>
      <c r="AF148" s="62"/>
      <c r="AG148" s="50">
        <v>1</v>
      </c>
      <c r="AH148" s="51"/>
      <c r="AN148" s="88"/>
      <c r="AO148" s="88"/>
    </row>
    <row r="149" spans="1:41" ht="15" hidden="1" customHeight="1" x14ac:dyDescent="0.25">
      <c r="C149" s="67" t="s">
        <v>189</v>
      </c>
      <c r="D149" s="68" t="s">
        <v>189</v>
      </c>
      <c r="E149" s="69"/>
      <c r="F149" s="55"/>
      <c r="G149" s="55" t="s">
        <v>190</v>
      </c>
      <c r="H149" s="55" t="s">
        <v>191</v>
      </c>
      <c r="I149" s="55" t="s">
        <v>192</v>
      </c>
      <c r="J149" s="55" t="s">
        <v>193</v>
      </c>
      <c r="K149" s="56" t="s">
        <v>194</v>
      </c>
      <c r="L149" s="57" t="s">
        <v>193</v>
      </c>
      <c r="M149" s="65" t="s">
        <v>224</v>
      </c>
      <c r="N149" s="65" t="s">
        <v>225</v>
      </c>
      <c r="O149" s="65" t="s">
        <v>226</v>
      </c>
      <c r="P149" s="29" t="s">
        <v>193</v>
      </c>
      <c r="Q149" s="29" t="s">
        <v>193</v>
      </c>
      <c r="R149" s="29" t="str">
        <f>P149</f>
        <v>[°C]</v>
      </c>
      <c r="S149" s="29" t="str">
        <f>Q149</f>
        <v>[°C]</v>
      </c>
      <c r="T149" s="31" t="s">
        <v>198</v>
      </c>
      <c r="U149" s="31" t="s">
        <v>199</v>
      </c>
      <c r="V149" s="66" t="s">
        <v>200</v>
      </c>
      <c r="W149" s="60" t="s">
        <v>201</v>
      </c>
      <c r="X149" s="60" t="s">
        <v>202</v>
      </c>
      <c r="Y149" s="60" t="s">
        <v>203</v>
      </c>
      <c r="Z149" s="60" t="s">
        <v>204</v>
      </c>
      <c r="AA149" s="26" t="s">
        <v>194</v>
      </c>
      <c r="AB149" s="26" t="s">
        <v>194</v>
      </c>
      <c r="AC149" s="26" t="s">
        <v>193</v>
      </c>
      <c r="AD149" s="26" t="s">
        <v>193</v>
      </c>
      <c r="AE149" s="62"/>
      <c r="AF149" s="62"/>
      <c r="AG149" s="50">
        <v>1</v>
      </c>
      <c r="AH149" s="51"/>
      <c r="AN149" s="88"/>
      <c r="AO149" s="88"/>
    </row>
    <row r="150" spans="1:41" ht="15" hidden="1" customHeight="1" x14ac:dyDescent="0.25">
      <c r="A150" s="38" t="str">
        <f>CONCATENATE("TX"," ",D150)</f>
        <v>TX 750</v>
      </c>
      <c r="C150" s="70">
        <v>750</v>
      </c>
      <c r="D150" s="71">
        <v>750</v>
      </c>
      <c r="E150" s="69"/>
      <c r="F150" s="72">
        <f>Calculator!$M$2</f>
        <v>10</v>
      </c>
      <c r="G150" s="73">
        <f>Fjäderkurva!$D$14</f>
        <v>10</v>
      </c>
      <c r="H150" s="73">
        <f>Fjäderkurva!$D$19</f>
        <v>150</v>
      </c>
      <c r="I150" s="73">
        <f>Calculator!$X$19</f>
        <v>20</v>
      </c>
      <c r="J150" s="74">
        <f>Calculator!$X$20</f>
        <v>20</v>
      </c>
      <c r="K150" s="97">
        <v>77</v>
      </c>
      <c r="L150" s="98">
        <f t="shared" si="51"/>
        <v>25</v>
      </c>
      <c r="M150" s="101">
        <f>-0.00000013726*F150^2-0.0000076261*F150+0.0133</f>
        <v>1.3210013E-2</v>
      </c>
      <c r="N150" s="111">
        <f>0.1645*EXP(1.7*(H150/150))+0.1</f>
        <v>1.0004643459391245</v>
      </c>
      <c r="O150" s="111">
        <f>0.496*(G150/F150)^2+0.4572*(G150/F150)+0.05</f>
        <v>1.0032000000000001</v>
      </c>
      <c r="P150" s="80">
        <f>((F150*I150*M150*N150*O150)*0.9)+J150</f>
        <v>22.386518963541775</v>
      </c>
      <c r="Q150" s="80">
        <f t="shared" ref="Q150:Q157" si="58">P150+10</f>
        <v>32.386518963541775</v>
      </c>
      <c r="R150" s="81">
        <f>P150</f>
        <v>22.386518963541775</v>
      </c>
      <c r="S150" s="81">
        <f>Q150</f>
        <v>32.386518963541775</v>
      </c>
      <c r="T150" s="82">
        <f t="shared" si="52"/>
        <v>72.295734134375195</v>
      </c>
      <c r="U150" s="82">
        <f t="shared" si="52"/>
        <v>90.295734134375195</v>
      </c>
      <c r="V150" s="83">
        <f t="shared" ref="V150:V157" si="59">5/9*(K150-32)</f>
        <v>25</v>
      </c>
      <c r="W150" s="84">
        <f t="shared" ref="W150:W157" si="60">P150+V150</f>
        <v>47.386518963541775</v>
      </c>
      <c r="X150" s="84">
        <f t="shared" si="53"/>
        <v>57.386518963541775</v>
      </c>
      <c r="Y150" s="84">
        <f t="shared" ref="Y150:Z157" si="61">9/5*W150+32</f>
        <v>117.29573413437519</v>
      </c>
      <c r="Z150" s="84">
        <f t="shared" si="61"/>
        <v>135.29573413437521</v>
      </c>
      <c r="AA150" s="85">
        <f t="shared" si="54"/>
        <v>117.29573413437519</v>
      </c>
      <c r="AB150" s="86">
        <f t="shared" si="54"/>
        <v>135.29573413437521</v>
      </c>
      <c r="AC150" s="86">
        <f t="shared" si="55"/>
        <v>47.386518963541775</v>
      </c>
      <c r="AD150" s="86">
        <f t="shared" si="55"/>
        <v>57.386518963541782</v>
      </c>
      <c r="AE150" s="62" t="str">
        <f t="shared" ref="AE150:AE157" si="62">IF(Q150&gt;80,"High temp. Please contact your distributor for advice",IF(H150&gt;150,"Too high charging pressure!",""))</f>
        <v/>
      </c>
      <c r="AF150" s="62" t="str">
        <f t="shared" si="56"/>
        <v/>
      </c>
      <c r="AG150" s="50">
        <v>2</v>
      </c>
      <c r="AH150" s="87" t="s">
        <v>259</v>
      </c>
      <c r="AN150" s="88">
        <v>31</v>
      </c>
      <c r="AO150" s="88">
        <v>41</v>
      </c>
    </row>
    <row r="151" spans="1:41" ht="15" hidden="1" customHeight="1" x14ac:dyDescent="0.25">
      <c r="A151" s="38" t="str">
        <f t="shared" ref="A151:A157" si="63">CONCATENATE("TX"," ",D151)</f>
        <v>TX 1000</v>
      </c>
      <c r="C151" s="70">
        <v>1000</v>
      </c>
      <c r="D151" s="71">
        <v>1000</v>
      </c>
      <c r="F151" s="72">
        <f>Calculator!$M$2</f>
        <v>10</v>
      </c>
      <c r="G151" s="73">
        <f>Fjäderkurva!$D$14</f>
        <v>10</v>
      </c>
      <c r="H151" s="73">
        <f>Fjäderkurva!$D$19</f>
        <v>150</v>
      </c>
      <c r="I151" s="73">
        <f>Calculator!$X$19</f>
        <v>20</v>
      </c>
      <c r="J151" s="74">
        <f>Calculator!$X$20</f>
        <v>20</v>
      </c>
      <c r="K151" s="97">
        <v>77</v>
      </c>
      <c r="L151" s="98">
        <f t="shared" si="51"/>
        <v>25</v>
      </c>
      <c r="M151" s="101">
        <f>-0.0000002*F151^2+0.00005*F151+0.0132</f>
        <v>1.3679999999999999E-2</v>
      </c>
      <c r="N151" s="79">
        <f>0.88*(H151/150)+0.12</f>
        <v>1</v>
      </c>
      <c r="O151" s="79">
        <f>0.3551*(G151/F151)^2+0.5449*(G151/F151)+0.1</f>
        <v>1.0000000000000002</v>
      </c>
      <c r="P151" s="80">
        <f>F151*I151*M151*N151*O151+J151-2</f>
        <v>20.736000000000001</v>
      </c>
      <c r="Q151" s="80">
        <f t="shared" si="58"/>
        <v>30.736000000000001</v>
      </c>
      <c r="R151" s="81">
        <f t="shared" ref="R151:S157" si="64">P151</f>
        <v>20.736000000000001</v>
      </c>
      <c r="S151" s="81">
        <f t="shared" si="64"/>
        <v>30.736000000000001</v>
      </c>
      <c r="T151" s="82">
        <f t="shared" si="52"/>
        <v>69.32480000000001</v>
      </c>
      <c r="U151" s="82">
        <f t="shared" si="52"/>
        <v>87.32480000000001</v>
      </c>
      <c r="V151" s="83">
        <f t="shared" si="59"/>
        <v>25</v>
      </c>
      <c r="W151" s="84">
        <f t="shared" si="60"/>
        <v>45.736000000000004</v>
      </c>
      <c r="X151" s="84">
        <f t="shared" si="53"/>
        <v>55.736000000000004</v>
      </c>
      <c r="Y151" s="84">
        <f t="shared" si="61"/>
        <v>114.32480000000001</v>
      </c>
      <c r="Z151" s="84">
        <f t="shared" si="61"/>
        <v>132.32480000000001</v>
      </c>
      <c r="AA151" s="85">
        <f t="shared" si="54"/>
        <v>114.32480000000001</v>
      </c>
      <c r="AB151" s="86">
        <f t="shared" si="54"/>
        <v>132.32480000000001</v>
      </c>
      <c r="AC151" s="86">
        <f t="shared" si="55"/>
        <v>45.736000000000011</v>
      </c>
      <c r="AD151" s="86">
        <f t="shared" si="55"/>
        <v>55.736000000000011</v>
      </c>
      <c r="AE151" s="62" t="str">
        <f t="shared" si="62"/>
        <v/>
      </c>
      <c r="AF151" s="62" t="str">
        <f t="shared" si="56"/>
        <v/>
      </c>
      <c r="AG151" s="50">
        <v>1</v>
      </c>
      <c r="AH151" s="87" t="s">
        <v>248</v>
      </c>
      <c r="AN151" s="88">
        <v>39</v>
      </c>
      <c r="AO151" s="88">
        <v>49</v>
      </c>
    </row>
    <row r="152" spans="1:41" ht="15" hidden="1" customHeight="1" x14ac:dyDescent="0.25">
      <c r="A152" s="38" t="str">
        <f t="shared" si="63"/>
        <v>TX 1500</v>
      </c>
      <c r="C152" s="70">
        <v>1500</v>
      </c>
      <c r="D152" s="71">
        <v>1500</v>
      </c>
      <c r="F152" s="72">
        <f>Calculator!$M$2</f>
        <v>10</v>
      </c>
      <c r="G152" s="73">
        <f>Fjäderkurva!$D$14</f>
        <v>10</v>
      </c>
      <c r="H152" s="73">
        <f>Fjäderkurva!$D$19</f>
        <v>150</v>
      </c>
      <c r="I152" s="73">
        <f>Calculator!$X$19</f>
        <v>20</v>
      </c>
      <c r="J152" s="74">
        <f>Calculator!$X$20</f>
        <v>20</v>
      </c>
      <c r="K152" s="97">
        <v>77</v>
      </c>
      <c r="L152" s="98">
        <f t="shared" si="51"/>
        <v>25</v>
      </c>
      <c r="M152" s="133">
        <f>0.123963746670613*F152</f>
        <v>1.2396374667061298</v>
      </c>
      <c r="N152" s="134">
        <f>(0.0703967741935484*H152+5.52354838709677)*(0.000530647743213614*I152^2+0.274166602843941*I152)</f>
        <v>91.602559989917694</v>
      </c>
      <c r="O152" s="107">
        <f>(100*G152/F152)*0.171918187168923</f>
        <v>17.1918187168923</v>
      </c>
      <c r="P152" s="80">
        <f>J152+(M152*N152*O152*0.000731558156516041+4.52833074925737)</f>
        <v>25.956477988315299</v>
      </c>
      <c r="Q152" s="80">
        <f t="shared" si="58"/>
        <v>35.956477988315299</v>
      </c>
      <c r="R152" s="81">
        <f t="shared" si="64"/>
        <v>25.956477988315299</v>
      </c>
      <c r="S152" s="81">
        <f t="shared" si="64"/>
        <v>35.956477988315299</v>
      </c>
      <c r="T152" s="82">
        <f t="shared" si="52"/>
        <v>78.721660378967542</v>
      </c>
      <c r="U152" s="82">
        <f t="shared" si="52"/>
        <v>96.721660378967542</v>
      </c>
      <c r="V152" s="83">
        <f t="shared" si="59"/>
        <v>25</v>
      </c>
      <c r="W152" s="84">
        <f t="shared" si="60"/>
        <v>50.956477988315299</v>
      </c>
      <c r="X152" s="84">
        <f t="shared" si="53"/>
        <v>60.956477988315299</v>
      </c>
      <c r="Y152" s="84">
        <f t="shared" si="61"/>
        <v>123.72166037896754</v>
      </c>
      <c r="Z152" s="84">
        <f t="shared" si="61"/>
        <v>141.72166037896756</v>
      </c>
      <c r="AA152" s="85">
        <f t="shared" si="54"/>
        <v>123.72166037896754</v>
      </c>
      <c r="AB152" s="86">
        <f t="shared" si="54"/>
        <v>141.72166037896756</v>
      </c>
      <c r="AC152" s="86">
        <f t="shared" si="55"/>
        <v>50.956477988315307</v>
      </c>
      <c r="AD152" s="86">
        <f t="shared" si="55"/>
        <v>60.956477988315314</v>
      </c>
      <c r="AE152" s="62" t="str">
        <f t="shared" si="62"/>
        <v/>
      </c>
      <c r="AF152" s="62" t="str">
        <f t="shared" si="56"/>
        <v/>
      </c>
      <c r="AG152" s="50">
        <v>2</v>
      </c>
      <c r="AH152" s="87" t="s">
        <v>227</v>
      </c>
      <c r="AN152" s="88">
        <v>37</v>
      </c>
      <c r="AO152" s="88">
        <v>47</v>
      </c>
    </row>
    <row r="153" spans="1:41" ht="15" hidden="1" customHeight="1" x14ac:dyDescent="0.25">
      <c r="A153" s="38" t="str">
        <f t="shared" si="63"/>
        <v>TX 2400</v>
      </c>
      <c r="C153" s="70">
        <v>2400</v>
      </c>
      <c r="D153" s="71">
        <v>2400</v>
      </c>
      <c r="F153" s="72">
        <f>Calculator!$M$2</f>
        <v>10</v>
      </c>
      <c r="G153" s="73">
        <f>Fjäderkurva!$D$14</f>
        <v>10</v>
      </c>
      <c r="H153" s="73">
        <f>Fjäderkurva!$D$19</f>
        <v>150</v>
      </c>
      <c r="I153" s="73">
        <f>Calculator!$X$19</f>
        <v>20</v>
      </c>
      <c r="J153" s="74">
        <f>Calculator!$X$20</f>
        <v>20</v>
      </c>
      <c r="K153" s="97">
        <v>77</v>
      </c>
      <c r="L153" s="98">
        <f t="shared" si="51"/>
        <v>25</v>
      </c>
      <c r="M153" s="101">
        <f>-0.00000015*F153^2+0.000027*F153+0.0145</f>
        <v>1.4755000000000001E-2</v>
      </c>
      <c r="N153" s="79">
        <f>0.88*(H153/150)+0.12</f>
        <v>1</v>
      </c>
      <c r="O153" s="79">
        <f>0.82*(G153/F153)^2+0.075*(G153/F153)+0.1</f>
        <v>0.99499999999999988</v>
      </c>
      <c r="P153" s="80">
        <f>F153*I153*M153*N153*O153+J153</f>
        <v>22.936245</v>
      </c>
      <c r="Q153" s="80">
        <f t="shared" si="58"/>
        <v>32.936245</v>
      </c>
      <c r="R153" s="81">
        <f t="shared" si="64"/>
        <v>22.936245</v>
      </c>
      <c r="S153" s="81">
        <f t="shared" si="64"/>
        <v>32.936245</v>
      </c>
      <c r="T153" s="82">
        <f t="shared" si="52"/>
        <v>73.285240999999999</v>
      </c>
      <c r="U153" s="82">
        <f t="shared" si="52"/>
        <v>91.285240999999999</v>
      </c>
      <c r="V153" s="83">
        <f t="shared" si="59"/>
        <v>25</v>
      </c>
      <c r="W153" s="84">
        <f t="shared" si="60"/>
        <v>47.936245</v>
      </c>
      <c r="X153" s="84">
        <f t="shared" si="53"/>
        <v>57.936245</v>
      </c>
      <c r="Y153" s="84">
        <f t="shared" si="61"/>
        <v>118.285241</v>
      </c>
      <c r="Z153" s="84">
        <f t="shared" si="61"/>
        <v>136.28524099999998</v>
      </c>
      <c r="AA153" s="85">
        <f t="shared" si="54"/>
        <v>118.285241</v>
      </c>
      <c r="AB153" s="86">
        <f t="shared" si="54"/>
        <v>136.28524099999998</v>
      </c>
      <c r="AC153" s="86">
        <f t="shared" si="55"/>
        <v>47.936245</v>
      </c>
      <c r="AD153" s="86">
        <f t="shared" si="55"/>
        <v>57.936244999999992</v>
      </c>
      <c r="AE153" s="62" t="str">
        <f t="shared" si="62"/>
        <v/>
      </c>
      <c r="AF153" s="62" t="str">
        <f t="shared" si="56"/>
        <v/>
      </c>
      <c r="AG153" s="50">
        <v>1</v>
      </c>
      <c r="AH153" s="87" t="s">
        <v>249</v>
      </c>
      <c r="AN153" s="88">
        <v>41</v>
      </c>
      <c r="AO153" s="88">
        <v>51</v>
      </c>
    </row>
    <row r="154" spans="1:41" ht="15" hidden="1" customHeight="1" x14ac:dyDescent="0.25">
      <c r="A154" s="38" t="str">
        <f t="shared" si="63"/>
        <v>TX 4200</v>
      </c>
      <c r="C154" s="70">
        <v>4200</v>
      </c>
      <c r="D154" s="71">
        <v>4200</v>
      </c>
      <c r="F154" s="72">
        <f>Calculator!$M$2</f>
        <v>10</v>
      </c>
      <c r="G154" s="73">
        <f>Fjäderkurva!$D$14</f>
        <v>10</v>
      </c>
      <c r="H154" s="73">
        <f>Fjäderkurva!$D$19</f>
        <v>150</v>
      </c>
      <c r="I154" s="73">
        <f>Calculator!$X$19</f>
        <v>20</v>
      </c>
      <c r="J154" s="74">
        <f>Calculator!$X$20</f>
        <v>20</v>
      </c>
      <c r="K154" s="97">
        <v>77</v>
      </c>
      <c r="L154" s="98">
        <f t="shared" si="51"/>
        <v>25</v>
      </c>
      <c r="M154" s="101">
        <f>0.00000005*F154^2-0.000034*F154+0.0186</f>
        <v>1.8265E-2</v>
      </c>
      <c r="N154" s="79">
        <f>0.75*(H154/150)+0.25</f>
        <v>1</v>
      </c>
      <c r="O154" s="79">
        <f>0.82*(G154/F154)^2+0.075*(G154/F154)+0.1</f>
        <v>0.99499999999999988</v>
      </c>
      <c r="P154" s="80">
        <f>F154*I154*M154*N154*O154+J154</f>
        <v>23.634734999999999</v>
      </c>
      <c r="Q154" s="80">
        <f t="shared" si="58"/>
        <v>33.634734999999999</v>
      </c>
      <c r="R154" s="81">
        <f t="shared" si="64"/>
        <v>23.634734999999999</v>
      </c>
      <c r="S154" s="81">
        <f t="shared" si="64"/>
        <v>33.634734999999999</v>
      </c>
      <c r="T154" s="82">
        <f t="shared" si="52"/>
        <v>74.542523000000003</v>
      </c>
      <c r="U154" s="82">
        <f t="shared" si="52"/>
        <v>92.542523000000003</v>
      </c>
      <c r="V154" s="83">
        <f t="shared" si="59"/>
        <v>25</v>
      </c>
      <c r="W154" s="84">
        <f t="shared" si="60"/>
        <v>48.634734999999999</v>
      </c>
      <c r="X154" s="84">
        <f t="shared" si="53"/>
        <v>58.634734999999999</v>
      </c>
      <c r="Y154" s="84">
        <f t="shared" si="61"/>
        <v>119.542523</v>
      </c>
      <c r="Z154" s="84">
        <f t="shared" si="61"/>
        <v>137.54252300000002</v>
      </c>
      <c r="AA154" s="85">
        <f t="shared" si="54"/>
        <v>119.542523</v>
      </c>
      <c r="AB154" s="86">
        <f t="shared" si="54"/>
        <v>137.54252300000002</v>
      </c>
      <c r="AC154" s="86">
        <f t="shared" si="55"/>
        <v>48.634735000000006</v>
      </c>
      <c r="AD154" s="86">
        <f t="shared" si="55"/>
        <v>58.634735000000013</v>
      </c>
      <c r="AE154" s="62" t="str">
        <f t="shared" si="62"/>
        <v/>
      </c>
      <c r="AF154" s="62" t="str">
        <f t="shared" si="56"/>
        <v/>
      </c>
      <c r="AG154" s="50">
        <v>1</v>
      </c>
      <c r="AH154" s="87" t="s">
        <v>250</v>
      </c>
      <c r="AN154" s="88">
        <v>41</v>
      </c>
      <c r="AO154" s="88">
        <v>51</v>
      </c>
    </row>
    <row r="155" spans="1:41" ht="15" hidden="1" customHeight="1" x14ac:dyDescent="0.25">
      <c r="A155" s="38" t="str">
        <f t="shared" si="63"/>
        <v>TX 6600</v>
      </c>
      <c r="C155" s="70">
        <v>6600</v>
      </c>
      <c r="D155" s="71">
        <v>6600</v>
      </c>
      <c r="F155" s="72">
        <f>Calculator!$M$2</f>
        <v>10</v>
      </c>
      <c r="G155" s="73">
        <f>Fjäderkurva!$D$14</f>
        <v>10</v>
      </c>
      <c r="H155" s="73">
        <f>Fjäderkurva!$D$19</f>
        <v>150</v>
      </c>
      <c r="I155" s="73">
        <f>Calculator!$X$19</f>
        <v>20</v>
      </c>
      <c r="J155" s="74">
        <f>Calculator!$X$20</f>
        <v>20</v>
      </c>
      <c r="K155" s="97">
        <v>77</v>
      </c>
      <c r="L155" s="98">
        <f t="shared" si="51"/>
        <v>25</v>
      </c>
      <c r="M155" s="101">
        <f>-0.000003*F155+0.0155</f>
        <v>1.5469999999999999E-2</v>
      </c>
      <c r="N155" s="79">
        <f>0.89*(H155/150)+0.11</f>
        <v>1</v>
      </c>
      <c r="O155" s="79">
        <f>0.82*(G155/F155)^2+0.075*(G155/F155)+0.1</f>
        <v>0.99499999999999988</v>
      </c>
      <c r="P155" s="80">
        <f>F155*I155*M155*N155*O155+J155</f>
        <v>23.078530000000001</v>
      </c>
      <c r="Q155" s="80">
        <f t="shared" si="58"/>
        <v>33.078530000000001</v>
      </c>
      <c r="R155" s="81">
        <f t="shared" si="64"/>
        <v>23.078530000000001</v>
      </c>
      <c r="S155" s="81">
        <f t="shared" si="64"/>
        <v>33.078530000000001</v>
      </c>
      <c r="T155" s="82">
        <f t="shared" si="52"/>
        <v>73.541354000000013</v>
      </c>
      <c r="U155" s="82">
        <f t="shared" si="52"/>
        <v>91.541354000000013</v>
      </c>
      <c r="V155" s="83">
        <f t="shared" si="59"/>
        <v>25</v>
      </c>
      <c r="W155" s="84">
        <f t="shared" si="60"/>
        <v>48.078530000000001</v>
      </c>
      <c r="X155" s="84">
        <f t="shared" si="53"/>
        <v>58.078530000000001</v>
      </c>
      <c r="Y155" s="84">
        <f t="shared" si="61"/>
        <v>118.541354</v>
      </c>
      <c r="Z155" s="84">
        <f t="shared" si="61"/>
        <v>136.54135400000001</v>
      </c>
      <c r="AA155" s="85">
        <f t="shared" si="54"/>
        <v>118.541354</v>
      </c>
      <c r="AB155" s="86">
        <f t="shared" si="54"/>
        <v>136.54135400000001</v>
      </c>
      <c r="AC155" s="86">
        <f t="shared" si="55"/>
        <v>48.078530000000001</v>
      </c>
      <c r="AD155" s="86">
        <f t="shared" si="55"/>
        <v>58.078530000000008</v>
      </c>
      <c r="AE155" s="62" t="str">
        <f t="shared" si="62"/>
        <v/>
      </c>
      <c r="AF155" s="62" t="str">
        <f t="shared" si="56"/>
        <v/>
      </c>
      <c r="AG155" s="50">
        <v>1</v>
      </c>
      <c r="AH155" s="87" t="s">
        <v>251</v>
      </c>
      <c r="AN155" s="88">
        <v>40</v>
      </c>
      <c r="AO155" s="88">
        <v>50</v>
      </c>
    </row>
    <row r="156" spans="1:41" ht="15" hidden="1" customHeight="1" x14ac:dyDescent="0.25">
      <c r="A156" s="38" t="str">
        <f t="shared" si="63"/>
        <v>TX 9500</v>
      </c>
      <c r="C156" s="70">
        <v>9500</v>
      </c>
      <c r="D156" s="71">
        <v>9500</v>
      </c>
      <c r="F156" s="72">
        <f>Calculator!$M$2</f>
        <v>10</v>
      </c>
      <c r="G156" s="73">
        <f>Fjäderkurva!$D$14</f>
        <v>10</v>
      </c>
      <c r="H156" s="73">
        <f>Fjäderkurva!$D$19</f>
        <v>150</v>
      </c>
      <c r="I156" s="73">
        <f>Calculator!$X$19</f>
        <v>20</v>
      </c>
      <c r="J156" s="74">
        <f>Calculator!$X$20</f>
        <v>20</v>
      </c>
      <c r="K156" s="97">
        <v>77</v>
      </c>
      <c r="L156" s="98">
        <f t="shared" si="51"/>
        <v>25</v>
      </c>
      <c r="M156" s="101">
        <f>-0.000018*F156+0.025</f>
        <v>2.4820000000000002E-2</v>
      </c>
      <c r="N156" s="79">
        <f>0.85*(H156/150)+0.15</f>
        <v>1</v>
      </c>
      <c r="O156" s="79">
        <f>0.82*(G156/F156)^2+0.075*(G156/F156)+0.1</f>
        <v>0.99499999999999988</v>
      </c>
      <c r="P156" s="80">
        <f>F156*I156*M156*N156*O156+J156</f>
        <v>24.93918</v>
      </c>
      <c r="Q156" s="80">
        <f t="shared" si="58"/>
        <v>34.93918</v>
      </c>
      <c r="R156" s="81">
        <f t="shared" si="64"/>
        <v>24.93918</v>
      </c>
      <c r="S156" s="81">
        <f t="shared" si="64"/>
        <v>34.93918</v>
      </c>
      <c r="T156" s="82">
        <f t="shared" si="52"/>
        <v>76.890523999999999</v>
      </c>
      <c r="U156" s="82">
        <f t="shared" si="52"/>
        <v>94.890523999999999</v>
      </c>
      <c r="V156" s="83">
        <f t="shared" si="59"/>
        <v>25</v>
      </c>
      <c r="W156" s="84">
        <f t="shared" si="60"/>
        <v>49.93918</v>
      </c>
      <c r="X156" s="84">
        <f t="shared" si="53"/>
        <v>59.93918</v>
      </c>
      <c r="Y156" s="84">
        <f t="shared" si="61"/>
        <v>121.890524</v>
      </c>
      <c r="Z156" s="84">
        <f t="shared" si="61"/>
        <v>139.890524</v>
      </c>
      <c r="AA156" s="85">
        <f t="shared" si="54"/>
        <v>121.890524</v>
      </c>
      <c r="AB156" s="86">
        <f t="shared" si="54"/>
        <v>139.890524</v>
      </c>
      <c r="AC156" s="86">
        <f t="shared" si="55"/>
        <v>49.93918</v>
      </c>
      <c r="AD156" s="86">
        <f t="shared" si="55"/>
        <v>59.93918</v>
      </c>
      <c r="AE156" s="62" t="str">
        <f t="shared" si="62"/>
        <v/>
      </c>
      <c r="AF156" s="62" t="str">
        <f t="shared" si="56"/>
        <v/>
      </c>
      <c r="AG156" s="50">
        <v>1</v>
      </c>
      <c r="AH156" s="87" t="s">
        <v>252</v>
      </c>
      <c r="AN156" s="88">
        <v>48</v>
      </c>
      <c r="AO156" s="88">
        <v>58</v>
      </c>
    </row>
    <row r="157" spans="1:41" ht="15" hidden="1" customHeight="1" x14ac:dyDescent="0.25">
      <c r="A157" s="38" t="str">
        <f t="shared" si="63"/>
        <v>TX 20000</v>
      </c>
      <c r="C157" s="70">
        <v>20000</v>
      </c>
      <c r="D157" s="71">
        <v>20000</v>
      </c>
      <c r="F157" s="72">
        <f>Calculator!$M$2</f>
        <v>10</v>
      </c>
      <c r="G157" s="73">
        <f>Fjäderkurva!$D$14</f>
        <v>10</v>
      </c>
      <c r="H157" s="73">
        <f>Fjäderkurva!$D$19</f>
        <v>150</v>
      </c>
      <c r="I157" s="73">
        <f>Calculator!$X$19</f>
        <v>20</v>
      </c>
      <c r="J157" s="74">
        <f>Calculator!$X$20</f>
        <v>20</v>
      </c>
      <c r="K157" s="97">
        <v>77</v>
      </c>
      <c r="L157" s="98">
        <f t="shared" si="51"/>
        <v>25</v>
      </c>
      <c r="M157" s="101">
        <f>-0.00000004*F157^2+0.000015*F157+0.0145</f>
        <v>1.4646000000000001E-2</v>
      </c>
      <c r="N157" s="79">
        <f>0.9*(H157/150)+0.1</f>
        <v>1</v>
      </c>
      <c r="O157" s="79">
        <f>0.82*(G157/F157)^2+0.075*(G157/F157)+0.1</f>
        <v>0.99499999999999988</v>
      </c>
      <c r="P157" s="80">
        <f>F157*I157*M157*N157*O157+J157</f>
        <v>22.914553999999999</v>
      </c>
      <c r="Q157" s="80">
        <f t="shared" si="58"/>
        <v>32.914553999999995</v>
      </c>
      <c r="R157" s="81">
        <f t="shared" si="64"/>
        <v>22.914553999999999</v>
      </c>
      <c r="S157" s="81">
        <f t="shared" si="64"/>
        <v>32.914553999999995</v>
      </c>
      <c r="T157" s="82">
        <f t="shared" si="52"/>
        <v>73.246197199999997</v>
      </c>
      <c r="U157" s="82">
        <f t="shared" si="52"/>
        <v>91.246197199999983</v>
      </c>
      <c r="V157" s="83">
        <f t="shared" si="59"/>
        <v>25</v>
      </c>
      <c r="W157" s="84">
        <f t="shared" si="60"/>
        <v>47.914553999999995</v>
      </c>
      <c r="X157" s="84">
        <f t="shared" si="53"/>
        <v>57.914553999999995</v>
      </c>
      <c r="Y157" s="84">
        <f t="shared" si="61"/>
        <v>118.2461972</v>
      </c>
      <c r="Z157" s="84">
        <f t="shared" si="61"/>
        <v>136.24619719999998</v>
      </c>
      <c r="AA157" s="85">
        <f t="shared" si="54"/>
        <v>118.2461972</v>
      </c>
      <c r="AB157" s="86">
        <f t="shared" si="54"/>
        <v>136.24619719999998</v>
      </c>
      <c r="AC157" s="86">
        <f t="shared" si="55"/>
        <v>47.914554000000003</v>
      </c>
      <c r="AD157" s="86">
        <f t="shared" si="55"/>
        <v>57.914553999999995</v>
      </c>
      <c r="AE157" s="62" t="str">
        <f t="shared" si="62"/>
        <v/>
      </c>
      <c r="AF157" s="62" t="str">
        <f t="shared" si="56"/>
        <v/>
      </c>
      <c r="AG157" s="50">
        <v>2</v>
      </c>
      <c r="AH157" s="87" t="s">
        <v>260</v>
      </c>
      <c r="AN157" s="88">
        <v>41</v>
      </c>
      <c r="AO157" s="88">
        <v>51</v>
      </c>
    </row>
    <row r="158" spans="1:41" ht="15" hidden="1" customHeight="1" x14ac:dyDescent="0.25">
      <c r="F158" s="38"/>
      <c r="P158" s="28"/>
      <c r="Q158" s="28"/>
      <c r="R158" s="28"/>
      <c r="S158" s="28"/>
      <c r="V158" s="66"/>
      <c r="W158" s="66"/>
      <c r="X158" s="66"/>
      <c r="Y158" s="66"/>
      <c r="Z158" s="66"/>
      <c r="AE158" s="49"/>
      <c r="AF158" s="49"/>
    </row>
    <row r="159" spans="1:41" ht="15" hidden="1" customHeight="1" x14ac:dyDescent="0.25">
      <c r="F159" s="38"/>
      <c r="P159" s="28"/>
      <c r="Q159" s="28"/>
      <c r="R159" s="28"/>
      <c r="S159" s="28"/>
      <c r="V159" s="66"/>
      <c r="W159" s="66"/>
      <c r="X159" s="66"/>
      <c r="Y159" s="66"/>
      <c r="Z159" s="66"/>
      <c r="AE159" s="49"/>
      <c r="AF159" s="49"/>
    </row>
    <row r="160" spans="1:41" ht="15" customHeight="1" x14ac:dyDescent="0.25">
      <c r="F160" s="38"/>
      <c r="P160" s="28"/>
      <c r="Q160" s="28"/>
      <c r="R160" s="28"/>
      <c r="S160" s="28"/>
      <c r="V160" s="66"/>
      <c r="W160" s="66"/>
      <c r="X160" s="66"/>
      <c r="Y160" s="66"/>
      <c r="Z160" s="66"/>
    </row>
    <row r="161" spans="1:41" ht="15" customHeight="1" x14ac:dyDescent="0.25">
      <c r="C161" s="63"/>
      <c r="D161" s="54" t="s">
        <v>1112</v>
      </c>
      <c r="F161" s="55" t="s">
        <v>175</v>
      </c>
      <c r="G161" s="55" t="s">
        <v>176</v>
      </c>
      <c r="H161" s="55" t="s">
        <v>177</v>
      </c>
      <c r="I161" s="55" t="s">
        <v>178</v>
      </c>
      <c r="J161" s="55" t="s">
        <v>179</v>
      </c>
      <c r="K161" s="56" t="s">
        <v>179</v>
      </c>
      <c r="L161" s="57" t="s">
        <v>179</v>
      </c>
      <c r="M161" s="65"/>
      <c r="N161" s="65"/>
      <c r="O161" s="65"/>
      <c r="P161" s="59" t="s">
        <v>180</v>
      </c>
      <c r="R161" s="59" t="str">
        <f t="shared" ref="R161:R167" si="65">P161</f>
        <v>Estimated running</v>
      </c>
      <c r="V161" s="60" t="s">
        <v>181</v>
      </c>
      <c r="Y161" s="61"/>
      <c r="AB161" s="33" t="str">
        <f>P161</f>
        <v>Estimated running</v>
      </c>
      <c r="AC161" s="93"/>
      <c r="AD161" s="93"/>
      <c r="AF161" s="62"/>
      <c r="AG161" s="50">
        <v>1</v>
      </c>
      <c r="AH161" s="51"/>
      <c r="AN161" s="88"/>
      <c r="AO161" s="88"/>
    </row>
    <row r="162" spans="1:41" s="64" customFormat="1" ht="15" customHeight="1" x14ac:dyDescent="0.25">
      <c r="A162" s="38"/>
      <c r="B162" s="38"/>
      <c r="C162" s="40"/>
      <c r="D162" s="222">
        <v>42884</v>
      </c>
      <c r="F162" s="55"/>
      <c r="G162" s="55" t="s">
        <v>182</v>
      </c>
      <c r="H162" s="55"/>
      <c r="I162" s="55"/>
      <c r="J162" s="55" t="s">
        <v>183</v>
      </c>
      <c r="K162" s="56" t="s">
        <v>183</v>
      </c>
      <c r="L162" s="57" t="s">
        <v>183</v>
      </c>
      <c r="M162" s="65" t="s">
        <v>186</v>
      </c>
      <c r="N162" s="65" t="s">
        <v>210</v>
      </c>
      <c r="O162" s="65" t="s">
        <v>211</v>
      </c>
      <c r="P162" s="59" t="s">
        <v>187</v>
      </c>
      <c r="Q162" s="29"/>
      <c r="R162" s="59" t="str">
        <f t="shared" si="65"/>
        <v>temperature between:</v>
      </c>
      <c r="S162" s="29"/>
      <c r="T162" s="31"/>
      <c r="U162" s="31"/>
      <c r="V162" s="66" t="s">
        <v>188</v>
      </c>
      <c r="W162" s="32"/>
      <c r="X162" s="32"/>
      <c r="Y162" s="61"/>
      <c r="Z162" s="32"/>
      <c r="AA162" s="33"/>
      <c r="AB162" s="33" t="str">
        <f>P162</f>
        <v>temperature between:</v>
      </c>
      <c r="AC162" s="93"/>
      <c r="AD162" s="93"/>
      <c r="AE162" s="34"/>
      <c r="AF162" s="62"/>
      <c r="AG162" s="94">
        <v>1</v>
      </c>
      <c r="AH162" s="95"/>
      <c r="AN162" s="88"/>
      <c r="AO162" s="88"/>
    </row>
    <row r="163" spans="1:41" s="64" customFormat="1" ht="15" customHeight="1" x14ac:dyDescent="0.25">
      <c r="A163" s="38"/>
      <c r="B163" s="38"/>
      <c r="C163" s="67" t="s">
        <v>189</v>
      </c>
      <c r="D163" s="68" t="s">
        <v>189</v>
      </c>
      <c r="E163" s="69"/>
      <c r="F163" s="55"/>
      <c r="G163" s="55" t="s">
        <v>190</v>
      </c>
      <c r="H163" s="55" t="s">
        <v>191</v>
      </c>
      <c r="I163" s="55" t="s">
        <v>192</v>
      </c>
      <c r="J163" s="55" t="s">
        <v>193</v>
      </c>
      <c r="K163" s="56" t="s">
        <v>194</v>
      </c>
      <c r="L163" s="57" t="s">
        <v>193</v>
      </c>
      <c r="M163" s="65" t="s">
        <v>212</v>
      </c>
      <c r="N163" s="65" t="s">
        <v>213</v>
      </c>
      <c r="O163" s="65" t="s">
        <v>214</v>
      </c>
      <c r="P163" s="29" t="s">
        <v>193</v>
      </c>
      <c r="Q163" s="29" t="s">
        <v>193</v>
      </c>
      <c r="R163" s="29" t="str">
        <f t="shared" si="65"/>
        <v>[°C]</v>
      </c>
      <c r="S163" s="29" t="str">
        <f t="shared" ref="S163:S167" si="66">Q163</f>
        <v>[°C]</v>
      </c>
      <c r="T163" s="31" t="s">
        <v>198</v>
      </c>
      <c r="U163" s="31" t="s">
        <v>199</v>
      </c>
      <c r="V163" s="66" t="s">
        <v>200</v>
      </c>
      <c r="W163" s="60" t="s">
        <v>201</v>
      </c>
      <c r="X163" s="60" t="s">
        <v>202</v>
      </c>
      <c r="Y163" s="60" t="s">
        <v>203</v>
      </c>
      <c r="Z163" s="60" t="s">
        <v>204</v>
      </c>
      <c r="AA163" s="26" t="s">
        <v>194</v>
      </c>
      <c r="AB163" s="26" t="s">
        <v>194</v>
      </c>
      <c r="AC163" s="26" t="s">
        <v>193</v>
      </c>
      <c r="AD163" s="26" t="s">
        <v>193</v>
      </c>
      <c r="AE163" s="108"/>
      <c r="AF163" s="62"/>
      <c r="AG163" s="94">
        <v>1</v>
      </c>
      <c r="AH163" s="51"/>
      <c r="AN163" s="88"/>
      <c r="AO163" s="88"/>
    </row>
    <row r="164" spans="1:41" ht="15" customHeight="1" x14ac:dyDescent="0.25">
      <c r="A164" s="38" t="str">
        <f t="shared" ref="A164:A167" si="67">CONCATENATE("XF"," ",D164)</f>
        <v>XF 750</v>
      </c>
      <c r="C164" s="70">
        <v>750</v>
      </c>
      <c r="D164" s="71">
        <v>750</v>
      </c>
      <c r="E164" s="109"/>
      <c r="F164" s="72">
        <f>Calculator!$M$2</f>
        <v>10</v>
      </c>
      <c r="G164" s="73">
        <f>Fjäderkurva!$D$14</f>
        <v>10</v>
      </c>
      <c r="H164" s="73">
        <f>Fjäderkurva!$D$19</f>
        <v>150</v>
      </c>
      <c r="I164" s="73">
        <f>Calculator!$X$19</f>
        <v>20</v>
      </c>
      <c r="J164" s="74">
        <f>Calculator!$X$20</f>
        <v>20</v>
      </c>
      <c r="K164" s="97">
        <v>77</v>
      </c>
      <c r="L164" s="98">
        <f t="shared" ref="L164:L167" si="68">5/9*(K164-32)</f>
        <v>25</v>
      </c>
      <c r="M164" s="110">
        <f>-5.21759415768633E-06*F164+0.011064444</f>
        <v>1.1012268058423137E-2</v>
      </c>
      <c r="N164" s="111">
        <f>0.7*(H164/150)+0.3</f>
        <v>1</v>
      </c>
      <c r="O164" s="111">
        <f t="shared" ref="O164:O167" si="69">(G164/F164)^1.15</f>
        <v>1</v>
      </c>
      <c r="P164" s="80">
        <f t="shared" ref="P164:P167" si="70">F164*I164*M164*N164*O164+J164</f>
        <v>22.202453611684628</v>
      </c>
      <c r="Q164" s="80">
        <f t="shared" ref="Q164:Q167" si="71">P164+10</f>
        <v>32.202453611684632</v>
      </c>
      <c r="R164" s="81">
        <f t="shared" si="65"/>
        <v>22.202453611684628</v>
      </c>
      <c r="S164" s="81">
        <f t="shared" si="66"/>
        <v>32.202453611684632</v>
      </c>
      <c r="T164" s="82">
        <f t="shared" ref="T164:T167" si="72">9/5*R164+32</f>
        <v>71.964416501032332</v>
      </c>
      <c r="U164" s="82">
        <f t="shared" ref="U164:U167" si="73">9/5*S164+32</f>
        <v>89.964416501032332</v>
      </c>
      <c r="V164" s="83">
        <f t="shared" ref="V164:V167" si="74">5/9*(K164-32)</f>
        <v>25</v>
      </c>
      <c r="W164" s="84">
        <f t="shared" ref="W164:W167" si="75">P164+V164</f>
        <v>47.202453611684632</v>
      </c>
      <c r="X164" s="84">
        <f t="shared" ref="X164:X167" si="76">W164+10</f>
        <v>57.202453611684632</v>
      </c>
      <c r="Y164" s="84">
        <f t="shared" ref="Y164:Y167" si="77">9/5*W164+32</f>
        <v>116.96441650103235</v>
      </c>
      <c r="Z164" s="84">
        <f t="shared" ref="Z164:Z167" si="78">9/5*X164+32</f>
        <v>134.96441650103236</v>
      </c>
      <c r="AA164" s="85">
        <f t="shared" ref="AA164:AA167" si="79">Y164</f>
        <v>116.96441650103235</v>
      </c>
      <c r="AB164" s="86">
        <f t="shared" ref="AB164:AB167" si="80">Z164</f>
        <v>134.96441650103236</v>
      </c>
      <c r="AC164" s="86">
        <f t="shared" ref="AC164:AC167" si="81">5/9*(AA164-32)</f>
        <v>47.202453611684639</v>
      </c>
      <c r="AD164" s="86">
        <f t="shared" ref="AD164:AD167" si="82">5/9*(AB164-32)</f>
        <v>57.202453611684646</v>
      </c>
      <c r="AE164" s="62" t="str">
        <f t="shared" ref="AE164:AE167" si="83">IF(Q164&gt;80,"High temp. Please contact your distributor for advice",IF(H164&gt;150,"Too high charging pressure!",""))</f>
        <v/>
      </c>
      <c r="AF164" s="62" t="str">
        <f t="shared" ref="AF164:AF167" si="84">AE164</f>
        <v/>
      </c>
      <c r="AG164" s="50">
        <v>1</v>
      </c>
      <c r="AH164" s="87" t="s">
        <v>219</v>
      </c>
      <c r="AN164" s="88">
        <v>34</v>
      </c>
      <c r="AO164" s="88">
        <v>44</v>
      </c>
    </row>
    <row r="165" spans="1:41" ht="15" customHeight="1" x14ac:dyDescent="0.25">
      <c r="A165" s="38" t="str">
        <f t="shared" si="67"/>
        <v>XF 1000</v>
      </c>
      <c r="C165" s="70">
        <v>1000</v>
      </c>
      <c r="D165" s="71">
        <v>1000</v>
      </c>
      <c r="E165" s="109"/>
      <c r="F165" s="72">
        <f>Calculator!$M$2</f>
        <v>10</v>
      </c>
      <c r="G165" s="73">
        <f>Fjäderkurva!$D$14</f>
        <v>10</v>
      </c>
      <c r="H165" s="73">
        <f>Fjäderkurva!$D$19</f>
        <v>150</v>
      </c>
      <c r="I165" s="73">
        <f>Calculator!$X$19</f>
        <v>20</v>
      </c>
      <c r="J165" s="74">
        <f>Calculator!$X$20</f>
        <v>20</v>
      </c>
      <c r="K165" s="97">
        <v>77</v>
      </c>
      <c r="L165" s="98">
        <f t="shared" si="68"/>
        <v>25</v>
      </c>
      <c r="M165" s="110">
        <f>-3.37582158982632E-06*F165+0.012213964</f>
        <v>1.2180205784101738E-2</v>
      </c>
      <c r="N165" s="111">
        <f>0.79*(H165/150)+0.21</f>
        <v>1</v>
      </c>
      <c r="O165" s="111">
        <f t="shared" si="69"/>
        <v>1</v>
      </c>
      <c r="P165" s="80">
        <f t="shared" si="70"/>
        <v>22.436041156820348</v>
      </c>
      <c r="Q165" s="80">
        <f t="shared" si="71"/>
        <v>32.436041156820352</v>
      </c>
      <c r="R165" s="81">
        <f t="shared" si="65"/>
        <v>22.436041156820348</v>
      </c>
      <c r="S165" s="81">
        <f t="shared" si="66"/>
        <v>32.436041156820352</v>
      </c>
      <c r="T165" s="82">
        <f t="shared" si="72"/>
        <v>72.384874082276625</v>
      </c>
      <c r="U165" s="82">
        <f t="shared" si="73"/>
        <v>90.384874082276639</v>
      </c>
      <c r="V165" s="83">
        <f t="shared" si="74"/>
        <v>25</v>
      </c>
      <c r="W165" s="84">
        <f t="shared" si="75"/>
        <v>47.436041156820352</v>
      </c>
      <c r="X165" s="84">
        <f t="shared" si="76"/>
        <v>57.436041156820352</v>
      </c>
      <c r="Y165" s="84">
        <f t="shared" si="77"/>
        <v>117.38487408227664</v>
      </c>
      <c r="Z165" s="84">
        <f t="shared" si="78"/>
        <v>135.38487408227664</v>
      </c>
      <c r="AA165" s="85">
        <f t="shared" si="79"/>
        <v>117.38487408227664</v>
      </c>
      <c r="AB165" s="86">
        <f t="shared" si="80"/>
        <v>135.38487408227664</v>
      </c>
      <c r="AC165" s="86">
        <f t="shared" si="81"/>
        <v>47.436041156820359</v>
      </c>
      <c r="AD165" s="86">
        <f t="shared" si="82"/>
        <v>57.436041156820359</v>
      </c>
      <c r="AE165" s="62" t="str">
        <f t="shared" si="83"/>
        <v/>
      </c>
      <c r="AF165" s="62" t="str">
        <f t="shared" si="84"/>
        <v/>
      </c>
      <c r="AG165" s="50">
        <v>1</v>
      </c>
      <c r="AH165" s="87" t="s">
        <v>219</v>
      </c>
      <c r="AN165" s="88">
        <v>36</v>
      </c>
      <c r="AO165" s="88">
        <v>46</v>
      </c>
    </row>
    <row r="166" spans="1:41" ht="15" customHeight="1" x14ac:dyDescent="0.25">
      <c r="A166" s="38" t="str">
        <f t="shared" si="67"/>
        <v>XF 1500</v>
      </c>
      <c r="C166" s="70">
        <v>1500</v>
      </c>
      <c r="D166" s="71">
        <v>1500</v>
      </c>
      <c r="E166" s="109"/>
      <c r="F166" s="72">
        <f>Calculator!$M$2</f>
        <v>10</v>
      </c>
      <c r="G166" s="73">
        <f>Fjäderkurva!$D$14</f>
        <v>10</v>
      </c>
      <c r="H166" s="73">
        <f>Fjäderkurva!$D$19</f>
        <v>150</v>
      </c>
      <c r="I166" s="73">
        <f>Calculator!$X$19</f>
        <v>20</v>
      </c>
      <c r="J166" s="74">
        <f>Calculator!$X$20</f>
        <v>20</v>
      </c>
      <c r="K166" s="97">
        <v>77</v>
      </c>
      <c r="L166" s="98">
        <f t="shared" si="68"/>
        <v>25</v>
      </c>
      <c r="M166" s="110">
        <f>-0.0000115814333465656*F166+0.0161709</f>
        <v>1.6055085666534342E-2</v>
      </c>
      <c r="N166" s="111">
        <f>0.84*(H166/150)+0.16</f>
        <v>1</v>
      </c>
      <c r="O166" s="111">
        <f t="shared" si="69"/>
        <v>1</v>
      </c>
      <c r="P166" s="80">
        <f t="shared" si="70"/>
        <v>23.211017133306868</v>
      </c>
      <c r="Q166" s="80">
        <f t="shared" si="71"/>
        <v>33.211017133306868</v>
      </c>
      <c r="R166" s="81">
        <f t="shared" si="65"/>
        <v>23.211017133306868</v>
      </c>
      <c r="S166" s="81">
        <f t="shared" si="66"/>
        <v>33.211017133306868</v>
      </c>
      <c r="T166" s="82">
        <f t="shared" si="72"/>
        <v>73.779830839952353</v>
      </c>
      <c r="U166" s="82">
        <f t="shared" si="73"/>
        <v>91.779830839952353</v>
      </c>
      <c r="V166" s="83">
        <f t="shared" si="74"/>
        <v>25</v>
      </c>
      <c r="W166" s="84">
        <f t="shared" si="75"/>
        <v>48.211017133306868</v>
      </c>
      <c r="X166" s="84">
        <f t="shared" si="76"/>
        <v>58.211017133306868</v>
      </c>
      <c r="Y166" s="84">
        <f t="shared" si="77"/>
        <v>118.77983083995237</v>
      </c>
      <c r="Z166" s="84">
        <f t="shared" si="78"/>
        <v>136.77983083995235</v>
      </c>
      <c r="AA166" s="85">
        <f t="shared" si="79"/>
        <v>118.77983083995237</v>
      </c>
      <c r="AB166" s="86">
        <f t="shared" si="80"/>
        <v>136.77983083995235</v>
      </c>
      <c r="AC166" s="86">
        <f t="shared" si="81"/>
        <v>48.211017133306875</v>
      </c>
      <c r="AD166" s="86">
        <f t="shared" si="82"/>
        <v>58.211017133306868</v>
      </c>
      <c r="AE166" s="62" t="str">
        <f t="shared" si="83"/>
        <v/>
      </c>
      <c r="AF166" s="62" t="str">
        <f t="shared" si="84"/>
        <v/>
      </c>
      <c r="AG166" s="50">
        <v>1</v>
      </c>
      <c r="AH166" s="87" t="s">
        <v>219</v>
      </c>
      <c r="AN166" s="88">
        <v>38</v>
      </c>
      <c r="AO166" s="88">
        <v>48</v>
      </c>
    </row>
    <row r="167" spans="1:41" ht="15" customHeight="1" x14ac:dyDescent="0.25">
      <c r="A167" s="38" t="str">
        <f t="shared" si="67"/>
        <v>XF 2400</v>
      </c>
      <c r="C167" s="70">
        <v>2400</v>
      </c>
      <c r="D167" s="71">
        <v>2400</v>
      </c>
      <c r="E167" s="109"/>
      <c r="F167" s="72">
        <f>Calculator!$M$2</f>
        <v>10</v>
      </c>
      <c r="G167" s="73">
        <f>Fjäderkurva!$D$14</f>
        <v>10</v>
      </c>
      <c r="H167" s="73">
        <f>Fjäderkurva!$D$19</f>
        <v>150</v>
      </c>
      <c r="I167" s="73">
        <f>Calculator!$X$19</f>
        <v>20</v>
      </c>
      <c r="J167" s="74">
        <f>Calculator!$X$20</f>
        <v>20</v>
      </c>
      <c r="K167" s="97">
        <v>77</v>
      </c>
      <c r="L167" s="98">
        <f t="shared" si="68"/>
        <v>25</v>
      </c>
      <c r="M167" s="110">
        <v>1.5820000000000001E-2</v>
      </c>
      <c r="N167" s="111">
        <f>0.87*(H167/150)+0.13</f>
        <v>1</v>
      </c>
      <c r="O167" s="111">
        <f t="shared" si="69"/>
        <v>1</v>
      </c>
      <c r="P167" s="80">
        <f t="shared" si="70"/>
        <v>23.164000000000001</v>
      </c>
      <c r="Q167" s="80">
        <f t="shared" si="71"/>
        <v>33.164000000000001</v>
      </c>
      <c r="R167" s="81">
        <f t="shared" si="65"/>
        <v>23.164000000000001</v>
      </c>
      <c r="S167" s="81">
        <f t="shared" si="66"/>
        <v>33.164000000000001</v>
      </c>
      <c r="T167" s="82">
        <f t="shared" si="72"/>
        <v>73.6952</v>
      </c>
      <c r="U167" s="82">
        <f t="shared" si="73"/>
        <v>91.6952</v>
      </c>
      <c r="V167" s="83">
        <f t="shared" si="74"/>
        <v>25</v>
      </c>
      <c r="W167" s="84">
        <f t="shared" si="75"/>
        <v>48.164000000000001</v>
      </c>
      <c r="X167" s="84">
        <f t="shared" si="76"/>
        <v>58.164000000000001</v>
      </c>
      <c r="Y167" s="84">
        <f t="shared" si="77"/>
        <v>118.6952</v>
      </c>
      <c r="Z167" s="84">
        <f t="shared" si="78"/>
        <v>136.6952</v>
      </c>
      <c r="AA167" s="85">
        <f t="shared" si="79"/>
        <v>118.6952</v>
      </c>
      <c r="AB167" s="86">
        <f t="shared" si="80"/>
        <v>136.6952</v>
      </c>
      <c r="AC167" s="86">
        <f t="shared" si="81"/>
        <v>48.164000000000001</v>
      </c>
      <c r="AD167" s="86">
        <f t="shared" si="82"/>
        <v>58.164000000000001</v>
      </c>
      <c r="AE167" s="62" t="str">
        <f t="shared" si="83"/>
        <v/>
      </c>
      <c r="AF167" s="62" t="str">
        <f t="shared" si="84"/>
        <v/>
      </c>
      <c r="AG167" s="50">
        <v>1</v>
      </c>
      <c r="AH167" s="87" t="s">
        <v>219</v>
      </c>
      <c r="AN167" s="88">
        <v>39</v>
      </c>
      <c r="AO167" s="88">
        <v>49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  <legacyDrawing r:id="rId3"/>
  <picture r:id="rId4"/>
  <controls>
    <mc:AlternateContent xmlns:mc="http://schemas.openxmlformats.org/markup-compatibility/2006">
      <mc:Choice Requires="x14">
        <control shapeId="8218" r:id="rId5" name="ComboBox26">
          <controlPr defaultSize="0" autoLine="0" autoPict="0" linkedCell="F73" listFillRange="[3]Strokes!A143:A152" r:id="rId6">
            <anchor moveWithCells="1" sizeWithCells="1">
              <from>
                <xdr:col>5</xdr:col>
                <xdr:colOff>0</xdr:colOff>
                <xdr:row>72</xdr:row>
                <xdr:rowOff>0</xdr:rowOff>
              </from>
              <to>
                <xdr:col>5</xdr:col>
                <xdr:colOff>809625</xdr:colOff>
                <xdr:row>72</xdr:row>
                <xdr:rowOff>0</xdr:rowOff>
              </to>
            </anchor>
          </controlPr>
        </control>
      </mc:Choice>
      <mc:Fallback>
        <control shapeId="8218" r:id="rId5" name="ComboBox26"/>
      </mc:Fallback>
    </mc:AlternateContent>
    <mc:AlternateContent xmlns:mc="http://schemas.openxmlformats.org/markup-compatibility/2006">
      <mc:Choice Requires="x14">
        <control shapeId="8235" r:id="rId7" name="ComboBox43">
          <controlPr defaultSize="0" autoLine="0" autoPict="0" linkedCell="F121" listFillRange="[3]Strokes!A104:A113" r:id="rId8">
            <anchor moveWithCells="1" siz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809625</xdr:colOff>
                <xdr:row>74</xdr:row>
                <xdr:rowOff>0</xdr:rowOff>
              </to>
            </anchor>
          </controlPr>
        </control>
      </mc:Choice>
      <mc:Fallback>
        <control shapeId="8235" r:id="rId7" name="ComboBox43"/>
      </mc:Fallback>
    </mc:AlternateContent>
    <mc:AlternateContent xmlns:mc="http://schemas.openxmlformats.org/markup-compatibility/2006">
      <mc:Choice Requires="x14">
        <control shapeId="8251" r:id="rId9" name="ComboBox59">
          <controlPr defaultSize="0" autoLine="0" autoPict="0" linkedCell="F152" listFillRange="[3]Strokes!C120:C134" r:id="rId10">
            <anchor moveWithCells="1" siz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809625</xdr:colOff>
                <xdr:row>74</xdr:row>
                <xdr:rowOff>0</xdr:rowOff>
              </to>
            </anchor>
          </controlPr>
        </control>
      </mc:Choice>
      <mc:Fallback>
        <control shapeId="8251" r:id="rId9" name="ComboBox59"/>
      </mc:Fallback>
    </mc:AlternateContent>
    <mc:AlternateContent xmlns:mc="http://schemas.openxmlformats.org/markup-compatibility/2006">
      <mc:Choice Requires="x14">
        <control shapeId="8260" r:id="rId11" name="ComboBox68">
          <controlPr defaultSize="0" autoLine="0" autoPict="0" linkedCell="F93" listFillRange="[3]Strokes!A66:A78" r:id="rId12">
            <anchor moveWithCells="1" siz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809625</xdr:colOff>
                <xdr:row>74</xdr:row>
                <xdr:rowOff>0</xdr:rowOff>
              </to>
            </anchor>
          </controlPr>
        </control>
      </mc:Choice>
      <mc:Fallback>
        <control shapeId="8260" r:id="rId11" name="ComboBox68"/>
      </mc:Fallback>
    </mc:AlternateContent>
    <mc:AlternateContent xmlns:mc="http://schemas.openxmlformats.org/markup-compatibility/2006">
      <mc:Choice Requires="x14">
        <control shapeId="8261" r:id="rId13" name="ComboBox69">
          <controlPr defaultSize="0" autoLine="0" autoPict="0" linkedCell="F99" listFillRange="[3]Strokes!B66:B78" r:id="rId14">
            <anchor moveWithCells="1" siz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809625</xdr:colOff>
                <xdr:row>74</xdr:row>
                <xdr:rowOff>0</xdr:rowOff>
              </to>
            </anchor>
          </controlPr>
        </control>
      </mc:Choice>
      <mc:Fallback>
        <control shapeId="8261" r:id="rId13" name="ComboBox69"/>
      </mc:Fallback>
    </mc:AlternateContent>
    <mc:AlternateContent xmlns:mc="http://schemas.openxmlformats.org/markup-compatibility/2006">
      <mc:Choice Requires="x14">
        <control shapeId="8262" r:id="rId15" name="ComboBox70">
          <controlPr defaultSize="0" autoLine="0" autoPict="0" linkedCell="F105" listFillRange="[3]Strokes!C66:C75" r:id="rId16">
            <anchor moveWithCells="1" siz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809625</xdr:colOff>
                <xdr:row>74</xdr:row>
                <xdr:rowOff>0</xdr:rowOff>
              </to>
            </anchor>
          </controlPr>
        </control>
      </mc:Choice>
      <mc:Fallback>
        <control shapeId="8262" r:id="rId15" name="ComboBox7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Calculator</vt:lpstr>
      <vt:lpstr>Kaller</vt:lpstr>
      <vt:lpstr>Ford</vt:lpstr>
      <vt:lpstr>GM</vt:lpstr>
      <vt:lpstr>Unit conv</vt:lpstr>
      <vt:lpstr>Fjäderkurva</vt:lpstr>
      <vt:lpstr>Tempdatabladet</vt:lpstr>
      <vt:lpstr>Calculator!Utskriftsområde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2018-06-11T12:49:29Z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7955602a-ab5a-494b-9482-6160549fad81</vt:lpwstr>
  </property>
</Properties>
</file>