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uls\Uppdrags Team (UT)\UT_21_Pågår Uppdrag\FlexCAM Calculator\210810 Uppdatering Helpdesk (Ny ver för hemsidan)\210810 Fixa till (För hemsidan)\"/>
    </mc:Choice>
  </mc:AlternateContent>
  <xr:revisionPtr revIDLastSave="0" documentId="13_ncr:1_{F132E877-59BE-406C-99EB-206D98692693}" xr6:coauthVersionLast="46" xr6:coauthVersionMax="46" xr10:uidLastSave="{00000000-0000-0000-0000-000000000000}"/>
  <workbookProtection workbookAlgorithmName="SHA-512" workbookHashValue="1WW6OdHl5/3JMbOxdgFwcbZoeGghrCas7ianrEQxvXIJGjlQNeYFT/ELXo+HiVuDWQ13Vn3sFRV0f2RfOj4Thg==" workbookSaltValue="8nJcgHsT7g8cizSOc9Ecug==" workbookSpinCount="100000" lockStructure="1"/>
  <bookViews>
    <workbookView showSheetTabs="0" xWindow="10125" yWindow="1320" windowWidth="26280" windowHeight="17910" xr2:uid="{00000000-000D-0000-FFFF-FFFF00000000}"/>
  </bookViews>
  <sheets>
    <sheet name="Calculator" sheetId="1" r:id="rId1"/>
    <sheet name="Kammar" sheetId="2" state="hidden" r:id="rId2"/>
    <sheet name="Drivare" sheetId="3" state="hidden" r:id="rId3"/>
    <sheet name="Slangar" sheetId="4" state="hidden" r:id="rId4"/>
  </sheets>
  <functionGroups builtInGroupCount="19"/>
  <definedNames>
    <definedName name="_xlnm._FilterDatabase" localSheetId="0" hidden="1">Calculator!$O$53:$O$56</definedName>
    <definedName name="Activating_Force">Calculator!$E$62</definedName>
    <definedName name="BuiltInAccumulator">Calculator!$M$40</definedName>
    <definedName name="CamDescription">Calculator!$P$25</definedName>
    <definedName name="CamGasFillingPressure">Calculator!$X$55</definedName>
    <definedName name="CamHoseDimension">Calculator!$C$58</definedName>
    <definedName name="CamMaxForce">Calculator!$C$25</definedName>
    <definedName name="CamMaxGasPressure">Calculator!$H$25</definedName>
    <definedName name="CamMinGasPressure">Calculator!$G$25</definedName>
    <definedName name="CamOilPort">Calculator!$R$25</definedName>
    <definedName name="CamReturnForce">Calculator!$E$25</definedName>
    <definedName name="CamSpeed">Calculator!$O$46</definedName>
    <definedName name="FlangeMount">Calculator!$J$25</definedName>
    <definedName name="FootMount">Calculator!$K$25</definedName>
    <definedName name="HCP0_2Hose">Calculator!$L$40</definedName>
    <definedName name="HCP0_4Hose">Calculator!$K$40</definedName>
    <definedName name="HCP0_6Hose">Calculator!$J$40</definedName>
    <definedName name="HCP0_8Hose">Calculator!$I$40</definedName>
    <definedName name="HCPAccumulatorPressure">Calculator!$X$52</definedName>
    <definedName name="HCPDescription">Calculator!$B$40</definedName>
    <definedName name="HCPHoseDimension">Calculator!$C$56</definedName>
    <definedName name="HCPMatrix">Drivare!$A$2:$O$42</definedName>
    <definedName name="HCPMaxForce">Calculator!$D$40</definedName>
    <definedName name="HCPMaxGasPressure">Calculator!$H$40</definedName>
    <definedName name="HCPMaxStroke">Calculator!$E$40</definedName>
    <definedName name="HCPMinGasPressure">Calculator!$G$40</definedName>
    <definedName name="HCPOilPort">Calculator!$P$40</definedName>
    <definedName name="HCPOilVolume">Calculator!#REF!</definedName>
    <definedName name="HCPPistonArea">Calculator!$N$40</definedName>
    <definedName name="HCPStroke">Calculator!$N$46</definedName>
    <definedName name="HCPType">Calculator!$B$18</definedName>
    <definedName name="Hoses">Slangar!$C$6:$D$10</definedName>
    <definedName name="Index_ListBox1">Calculator!$D$6</definedName>
    <definedName name="Index_ListBox11">Calculator!$D$16</definedName>
    <definedName name="Index_ListBox2">Calculator!$B$3</definedName>
    <definedName name="Index_ListBoxMounting">Calculator!$M$59</definedName>
    <definedName name="Index_ListBoxOption">Calculator!$M$66</definedName>
    <definedName name="LockValue">Calculator!$P$16</definedName>
    <definedName name="Max_Volume">Drivare!$A$4:$A$43</definedName>
    <definedName name="mounting_list">OFFSET(Calculator!$K$61,0,0,Calculator!$N$59,1)</definedName>
    <definedName name="Mounting_list_ref">Calculator!$K$61</definedName>
    <definedName name="NewStroke">Calculator!$M$32</definedName>
    <definedName name="NormalCamPressure">Calculator!$Q$25</definedName>
    <definedName name="NumberOfCams">Calculator!$N$20</definedName>
    <definedName name="OilVolumeUsed">Calculator!$M$30</definedName>
    <definedName name="Option_list">OFFSET(Calculator!$P$67,0,0,Calculator!$N$65,1)</definedName>
    <definedName name="Piercing_Force">Calculator!#REF!</definedName>
    <definedName name="PistonArea">Calculator!$O$25</definedName>
    <definedName name="Power_Unit__Type">Calculator!$C$40</definedName>
    <definedName name="Product_Type">Calculator!$A$26</definedName>
    <definedName name="ProximitySensor">Calculator!$M$25</definedName>
    <definedName name="Punch_diameter">Calculator!#REF!</definedName>
    <definedName name="RecomendedHCP">Calculator!$A$32:$O$33</definedName>
    <definedName name="ScrewMount">Calculator!$I$25</definedName>
    <definedName name="SensorNr">Calculator!$N$25</definedName>
    <definedName name="Slutval">Calculator!$B$12</definedName>
    <definedName name="SpeedRatio">Calculator!$M$46</definedName>
    <definedName name="SPMLimit">Calculator!$Q$46</definedName>
    <definedName name="SS">Calculator!#REF!</definedName>
    <definedName name="Stripping_Force">Calculator!#REF!</definedName>
    <definedName name="Stroke">Calculator!$D$25</definedName>
    <definedName name="Supplied_Oil_Volume">Calculator!$F$43</definedName>
    <definedName name="Supplied_Oil_Volume_Max">Calculator!$F$44</definedName>
    <definedName name="t">Calculator!#REF!</definedName>
    <definedName name="TopMount">Calculator!$L$25</definedName>
    <definedName name="Total_cut_length">Calculator!#REF!</definedName>
    <definedName name="TotalPistonArea">#REF!</definedName>
    <definedName name="TS">Calculator!#REF!</definedName>
    <definedName name="_xlnm.Extract" localSheetId="0">Calculator!$U$24:$U$26</definedName>
    <definedName name="Usable_Oil_Volume">Calculator!$A$40</definedName>
    <definedName name="UsedOilVolume">#REF!</definedName>
    <definedName name="UsedStroke">Calculator!$N$7</definedName>
    <definedName name="UserCamForce">Calculator!$C$61</definedName>
    <definedName name="UserHCPSpeed">Calculator!$W$31</definedName>
    <definedName name="UserReturnForce">Calculator!$C$62</definedName>
    <definedName name="_xlnm.Print_Area" localSheetId="0">Calculator!$T$9:$AG$59</definedName>
    <definedName name="Variant">Calculator!$B$25</definedName>
    <definedName name="_xlnm.Criteria" localSheetId="0">Calculator!$O$53:$O$56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4" i="1" l="1"/>
  <c r="AB45" i="1"/>
  <c r="N46" i="1" l="1"/>
  <c r="W43" i="1" l="1"/>
  <c r="M66" i="1" l="1"/>
  <c r="U70" i="1" s="1"/>
  <c r="U72" i="1" l="1"/>
  <c r="N65" i="1"/>
  <c r="L53" i="1"/>
  <c r="U71" i="1" l="1"/>
  <c r="M68" i="1"/>
  <c r="O53" i="1"/>
  <c r="W71" i="1" l="1"/>
  <c r="W72" i="1"/>
  <c r="M69" i="1"/>
  <c r="K69" i="1"/>
  <c r="K68" i="1"/>
  <c r="K67" i="1"/>
  <c r="L56" i="1"/>
  <c r="L55" i="1"/>
  <c r="L54" i="1"/>
  <c r="O54" i="1" s="1"/>
  <c r="N53" i="1"/>
  <c r="O56" i="1" l="1"/>
  <c r="N56" i="1" s="1"/>
  <c r="O55" i="1"/>
  <c r="N55" i="1" s="1"/>
  <c r="N54" i="1"/>
  <c r="E62" i="1"/>
  <c r="AF52" i="1" s="1"/>
  <c r="AE64" i="1"/>
  <c r="AC63" i="1"/>
  <c r="Y63" i="1"/>
  <c r="W64" i="1"/>
  <c r="W63" i="1"/>
  <c r="M59" i="1" l="1"/>
  <c r="N59" i="1"/>
  <c r="M56" i="1"/>
  <c r="M53" i="1"/>
  <c r="M55" i="1"/>
  <c r="M54" i="1"/>
  <c r="AB20" i="1"/>
  <c r="A26" i="1"/>
  <c r="U55" i="1" l="1"/>
  <c r="U20" i="1"/>
  <c r="U68" i="1"/>
  <c r="W68" i="1" s="1"/>
  <c r="K61" i="1"/>
  <c r="U26" i="1"/>
  <c r="K62" i="1"/>
  <c r="U18" i="1"/>
  <c r="U63" i="1"/>
  <c r="Z50" i="1"/>
  <c r="W19" i="1"/>
  <c r="AC64" i="1" l="1"/>
  <c r="W41" i="1"/>
  <c r="W18" i="1"/>
  <c r="C68" i="1" l="1"/>
  <c r="E70" i="1"/>
  <c r="D70" i="1"/>
  <c r="C70" i="1"/>
  <c r="B70" i="1"/>
  <c r="AF16" i="1" l="1"/>
  <c r="W42" i="1"/>
  <c r="W20" i="1"/>
  <c r="W44" i="1"/>
  <c r="C62" i="1" l="1"/>
  <c r="C61" i="1" s="1"/>
  <c r="X56" i="1"/>
  <c r="X53" i="1"/>
  <c r="AB55" i="1" l="1"/>
  <c r="O46" i="1"/>
  <c r="AE63" i="1" s="1"/>
  <c r="C58" i="1" l="1"/>
  <c r="B18" i="1"/>
  <c r="U56" i="1" l="1"/>
  <c r="AB52" i="1" l="1"/>
  <c r="AA63" i="1"/>
  <c r="A41" i="3"/>
  <c r="A36" i="3"/>
  <c r="A40" i="3"/>
  <c r="A29" i="3"/>
  <c r="A33" i="3"/>
  <c r="A28" i="3"/>
  <c r="A32" i="3"/>
  <c r="A21" i="3"/>
  <c r="A25" i="3"/>
  <c r="A35" i="3"/>
  <c r="A39" i="3"/>
  <c r="A20" i="3"/>
  <c r="A24" i="3"/>
  <c r="A13" i="3"/>
  <c r="A17" i="3"/>
  <c r="A27" i="3"/>
  <c r="A31" i="3"/>
  <c r="A34" i="3"/>
  <c r="A38" i="3"/>
  <c r="A12" i="3"/>
  <c r="A16" i="3"/>
  <c r="A19" i="3"/>
  <c r="A23" i="3"/>
  <c r="A26" i="3"/>
  <c r="A30" i="3"/>
  <c r="A5" i="3"/>
  <c r="A9" i="3"/>
  <c r="A11" i="3"/>
  <c r="A15" i="3"/>
  <c r="A18" i="3"/>
  <c r="A22" i="3"/>
  <c r="A4" i="3"/>
  <c r="A8" i="3"/>
  <c r="A10" i="3"/>
  <c r="A14" i="3"/>
  <c r="A3" i="3"/>
  <c r="A7" i="3"/>
  <c r="A2" i="3"/>
  <c r="A6" i="3"/>
  <c r="A37" i="3"/>
  <c r="C56" i="1" l="1"/>
  <c r="W66" i="1" s="1"/>
  <c r="U53" i="1"/>
  <c r="W45" i="1" l="1"/>
  <c r="V66" i="1"/>
</calcChain>
</file>

<file path=xl/sharedStrings.xml><?xml version="1.0" encoding="utf-8"?>
<sst xmlns="http://schemas.openxmlformats.org/spreadsheetml/2006/main" count="880" uniqueCount="260">
  <si>
    <t>Working Force (kN)</t>
  </si>
  <si>
    <t>Return Force (kN)</t>
  </si>
  <si>
    <t>Stroke (mm)</t>
  </si>
  <si>
    <t>Max Frequency (spm)</t>
  </si>
  <si>
    <t>Min Gas Pressure (bar)</t>
  </si>
  <si>
    <t>Max Gas Pressure (bar)</t>
  </si>
  <si>
    <t>Screw Mount</t>
  </si>
  <si>
    <t>Flange Mount</t>
  </si>
  <si>
    <t>Foot Mount</t>
  </si>
  <si>
    <t>Top Mount</t>
  </si>
  <si>
    <t>Proximity Sensor Kit</t>
  </si>
  <si>
    <t>Sensors</t>
  </si>
  <si>
    <t>Piston Area (dm2)</t>
  </si>
  <si>
    <t>Description</t>
  </si>
  <si>
    <t>Type</t>
  </si>
  <si>
    <t>Compact Cam (CC)</t>
  </si>
  <si>
    <t>Standard</t>
  </si>
  <si>
    <t>CC 015-010</t>
  </si>
  <si>
    <t>3018208-1</t>
  </si>
  <si>
    <t>CC 015-024</t>
  </si>
  <si>
    <t>3018208-2</t>
  </si>
  <si>
    <t>CC 015-049</t>
  </si>
  <si>
    <t>With Gas Hose Connection (-H)</t>
  </si>
  <si>
    <t>CC-H 015-010</t>
  </si>
  <si>
    <t>CC-H 015-024</t>
  </si>
  <si>
    <t>CC-H 015-049</t>
  </si>
  <si>
    <t>Force Cylinder (HCF)</t>
  </si>
  <si>
    <t>HCF 015-025</t>
  </si>
  <si>
    <t>HCF 015-050</t>
  </si>
  <si>
    <t>HCF 015-100</t>
  </si>
  <si>
    <t>HCF 015-150</t>
  </si>
  <si>
    <t>With Side Port Plate (-SP)</t>
  </si>
  <si>
    <t>HCF-SP 015-025</t>
  </si>
  <si>
    <t>HCF-SP 015-050</t>
  </si>
  <si>
    <t>HCF-SP 015-100</t>
  </si>
  <si>
    <t>HCF-SP 015-150</t>
  </si>
  <si>
    <t>3018208-3</t>
  </si>
  <si>
    <t>CC 040-024</t>
  </si>
  <si>
    <t>3018208-4</t>
  </si>
  <si>
    <t>CC 040-049</t>
  </si>
  <si>
    <t>3018208-5</t>
  </si>
  <si>
    <t>CC 040-099</t>
  </si>
  <si>
    <t>3018208-15</t>
  </si>
  <si>
    <t>CC 040-124</t>
  </si>
  <si>
    <t>CC-H 040-024</t>
  </si>
  <si>
    <t>CC-H 040-049</t>
  </si>
  <si>
    <t>CC-H 040-099</t>
  </si>
  <si>
    <t>CC-H 040-124</t>
  </si>
  <si>
    <t>Flange Cam (CCF)</t>
  </si>
  <si>
    <t>CCF 040-049</t>
  </si>
  <si>
    <t>CCF 040-099</t>
  </si>
  <si>
    <t>CCF-H 040-049</t>
  </si>
  <si>
    <t>CCF-H 040-099</t>
  </si>
  <si>
    <t>HCF 040-025</t>
  </si>
  <si>
    <t>HCF 040-050</t>
  </si>
  <si>
    <t>HCF 040-100</t>
  </si>
  <si>
    <t>HCF 040-150</t>
  </si>
  <si>
    <t>HCF-SP 040-025</t>
  </si>
  <si>
    <t>HCF-SP 040-050</t>
  </si>
  <si>
    <t>HCF-SP 040-100</t>
  </si>
  <si>
    <t>HCF-SP 040-150</t>
  </si>
  <si>
    <t>3018208-09</t>
  </si>
  <si>
    <t>CC 060-024</t>
  </si>
  <si>
    <t>3018208-10</t>
  </si>
  <si>
    <t>CC 060-049</t>
  </si>
  <si>
    <t>3018208-11</t>
  </si>
  <si>
    <t>CC 060-099</t>
  </si>
  <si>
    <t>CC-H 060-024</t>
  </si>
  <si>
    <t>CC-H 060-049</t>
  </si>
  <si>
    <t>CC-H 060-099</t>
  </si>
  <si>
    <t>HCF 060-025</t>
  </si>
  <si>
    <t>HCF 060-050</t>
  </si>
  <si>
    <t>HCF 060-100</t>
  </si>
  <si>
    <t>HCF 060-150</t>
  </si>
  <si>
    <t>HCF-SP 060-025</t>
  </si>
  <si>
    <t>HCF-SP 060-050</t>
  </si>
  <si>
    <t>HCF-SP 060-100</t>
  </si>
  <si>
    <t>HCF-SP 060-150</t>
  </si>
  <si>
    <t>3018208-6</t>
  </si>
  <si>
    <t>CC 090-024</t>
  </si>
  <si>
    <t>3018208-7</t>
  </si>
  <si>
    <t>CC 090-049</t>
  </si>
  <si>
    <t>3018208-8</t>
  </si>
  <si>
    <t>CC 090-099</t>
  </si>
  <si>
    <t>CC-H 090-024</t>
  </si>
  <si>
    <t>CC-H 090-049</t>
  </si>
  <si>
    <t>CC-H 090-099</t>
  </si>
  <si>
    <t>HCF 090-025</t>
  </si>
  <si>
    <t>HCF 090-050</t>
  </si>
  <si>
    <t>HCF 090-100</t>
  </si>
  <si>
    <t>HCF 090-150</t>
  </si>
  <si>
    <t>HCF-SP 090-025</t>
  </si>
  <si>
    <t>HCF-SP 090-050</t>
  </si>
  <si>
    <t>HCF-SP 090-100</t>
  </si>
  <si>
    <t>HCF-SP 090-150</t>
  </si>
  <si>
    <t>3018208-12</t>
  </si>
  <si>
    <t>CC 150-024</t>
  </si>
  <si>
    <t>3018208-13</t>
  </si>
  <si>
    <t>CC 150-049</t>
  </si>
  <si>
    <t>3018208-14</t>
  </si>
  <si>
    <t>CC 150-099</t>
  </si>
  <si>
    <t>CC-H 150-024</t>
  </si>
  <si>
    <t>CC-H 150-049</t>
  </si>
  <si>
    <t>CC-H 150-099</t>
  </si>
  <si>
    <t>HCF 150-025</t>
  </si>
  <si>
    <t>HCF 150-050</t>
  </si>
  <si>
    <t>HCF 150-100</t>
  </si>
  <si>
    <t>HCF 150-150</t>
  </si>
  <si>
    <t>HCF-SP 150-025</t>
  </si>
  <si>
    <t>HCF-SP 150-050</t>
  </si>
  <si>
    <t>HCF-SP 150-100</t>
  </si>
  <si>
    <t>HCF-SP 150-150</t>
  </si>
  <si>
    <t>Force (kN)</t>
  </si>
  <si>
    <t>Built in Accumulator</t>
  </si>
  <si>
    <t>HCP 015-035</t>
  </si>
  <si>
    <t>1/2"</t>
  </si>
  <si>
    <t>3/8"</t>
  </si>
  <si>
    <t>HCP 015-060</t>
  </si>
  <si>
    <t>HCP 015-110</t>
  </si>
  <si>
    <t>HCP 015-160</t>
  </si>
  <si>
    <t>HCP-S 015-035</t>
  </si>
  <si>
    <t>HCP-S 015-060</t>
  </si>
  <si>
    <t>HCP-S 015-110</t>
  </si>
  <si>
    <t>HCP-S 015-160</t>
  </si>
  <si>
    <t>HCP 040-035</t>
  </si>
  <si>
    <t>3/4"</t>
  </si>
  <si>
    <t>HCP 040-060</t>
  </si>
  <si>
    <t>HCP 040-110</t>
  </si>
  <si>
    <t>HCP 040-160</t>
  </si>
  <si>
    <t>HCP-S 040-035</t>
  </si>
  <si>
    <t>HCP-S 040-060</t>
  </si>
  <si>
    <t>HCP-S 040-110</t>
  </si>
  <si>
    <t>HCP-S 040-160</t>
  </si>
  <si>
    <t>HCP 060-035</t>
  </si>
  <si>
    <t>1"</t>
  </si>
  <si>
    <t>HCP 060-060</t>
  </si>
  <si>
    <t>HCP 060-110</t>
  </si>
  <si>
    <t>HCP 060-160</t>
  </si>
  <si>
    <t>HCP-S 060-035</t>
  </si>
  <si>
    <t>HCP-S 060-060</t>
  </si>
  <si>
    <t>HCP-S 060-110</t>
  </si>
  <si>
    <t>HCP-S 060-160</t>
  </si>
  <si>
    <t>HCP 090-035</t>
  </si>
  <si>
    <t>HCP 090-060</t>
  </si>
  <si>
    <t>HCP 090-110</t>
  </si>
  <si>
    <t>HCP 090-160</t>
  </si>
  <si>
    <t>HCP-S 090-035</t>
  </si>
  <si>
    <t>HCP-S 090-060</t>
  </si>
  <si>
    <t>HCP-S 090-110</t>
  </si>
  <si>
    <t>HCP-S 090-160</t>
  </si>
  <si>
    <t>HCP 150-035</t>
  </si>
  <si>
    <t>1 1/4"</t>
  </si>
  <si>
    <t>HCP 150-060</t>
  </si>
  <si>
    <t>HCP 150-110</t>
  </si>
  <si>
    <t>HCP 150-160</t>
  </si>
  <si>
    <t>HCP-S 150-035</t>
  </si>
  <si>
    <t>HCP-S 150-060</t>
  </si>
  <si>
    <t>HCP-S 150-110</t>
  </si>
  <si>
    <t>HCP-S 150-160</t>
  </si>
  <si>
    <t>m/s</t>
  </si>
  <si>
    <t xml:space="preserve"> </t>
  </si>
  <si>
    <t>Usable Volume</t>
  </si>
  <si>
    <t>mm</t>
  </si>
  <si>
    <t>Slagdimension</t>
  </si>
  <si>
    <t>HCP</t>
  </si>
  <si>
    <t>CAMs</t>
  </si>
  <si>
    <t>bar</t>
  </si>
  <si>
    <t>Return Force</t>
  </si>
  <si>
    <t>Force Adjustment</t>
  </si>
  <si>
    <t>Cam Force</t>
  </si>
  <si>
    <t>IMPORTANT:</t>
  </si>
  <si>
    <t>Please send feeback and comments to:</t>
  </si>
  <si>
    <t>info@kaller.com</t>
  </si>
  <si>
    <t>2. Select HCP Power Unit</t>
  </si>
  <si>
    <t>(incl. 10 mm margin)</t>
  </si>
  <si>
    <t>ratio</t>
  </si>
  <si>
    <t>HCPType</t>
  </si>
  <si>
    <t>Used Stroke Lock</t>
  </si>
  <si>
    <t>HCP Stroke</t>
  </si>
  <si>
    <t>Cam Speed</t>
  </si>
  <si>
    <t>No. of Cams</t>
  </si>
  <si>
    <t>Normal Gas pressure</t>
  </si>
  <si>
    <t>Normal Pressure</t>
  </si>
  <si>
    <t>Normal Filling Pressure</t>
  </si>
  <si>
    <t>Oil Port</t>
  </si>
  <si>
    <t>G 1/2"</t>
  </si>
  <si>
    <t>G 3/4"</t>
  </si>
  <si>
    <t>G 1 1/4"</t>
  </si>
  <si>
    <t>Oil Port size</t>
  </si>
  <si>
    <t>New Stroke</t>
  </si>
  <si>
    <t>Value</t>
  </si>
  <si>
    <t>Oil Volume used</t>
  </si>
  <si>
    <t>User Defined Stroke</t>
  </si>
  <si>
    <t>Cam Hose Dimensions</t>
  </si>
  <si>
    <t>Skriv i dessa manuellt för List_box_1</t>
  </si>
  <si>
    <t>Cell-länk</t>
  </si>
  <si>
    <t>Index 1</t>
  </si>
  <si>
    <t>Index 2</t>
  </si>
  <si>
    <t>Index 3</t>
  </si>
  <si>
    <t>Index 4</t>
  </si>
  <si>
    <t>List_Box_2</t>
  </si>
  <si>
    <t>List_Box_3</t>
  </si>
  <si>
    <t>List_Box_4</t>
  </si>
  <si>
    <t>Detta är använt slag</t>
  </si>
  <si>
    <t>Skriv in dessa manuellt</t>
  </si>
  <si>
    <t>Vald Cam Skrivs ut på rad 25</t>
  </si>
  <si>
    <t>Recomended Power Units</t>
  </si>
  <si>
    <t>Number of Cams</t>
  </si>
  <si>
    <t>Till Listruta</t>
  </si>
  <si>
    <t>Status</t>
  </si>
  <si>
    <t>Kryssruta</t>
  </si>
  <si>
    <t>Tillhör Listbox_12</t>
  </si>
  <si>
    <t>Selected HCP:</t>
  </si>
  <si>
    <t>Power Unit (HCP)</t>
  </si>
  <si>
    <t>Power Unit with separate accumulator (HCP-S)</t>
  </si>
  <si>
    <t>Recommended Hose Size</t>
  </si>
  <si>
    <t>1. Select Cam / Force Cylinder</t>
  </si>
  <si>
    <t>Working Force</t>
  </si>
  <si>
    <t>Press Velocity</t>
  </si>
  <si>
    <t>Order No.</t>
  </si>
  <si>
    <t>Used Stroke</t>
  </si>
  <si>
    <t>3. Force Adjustments</t>
  </si>
  <si>
    <t>Power Unit</t>
  </si>
  <si>
    <t>Quantity</t>
  </si>
  <si>
    <t>Antal</t>
  </si>
  <si>
    <t>1 pc</t>
  </si>
  <si>
    <t>Hose Size</t>
  </si>
  <si>
    <t>Slangar</t>
  </si>
  <si>
    <t>30 222 15 - xxxx</t>
  </si>
  <si>
    <t>30 214 54 - xxxx</t>
  </si>
  <si>
    <t>30 214 55 - xxxx</t>
  </si>
  <si>
    <t>30 214 56 - xxxx</t>
  </si>
  <si>
    <t>30 214 57 - xxxx</t>
  </si>
  <si>
    <t>Activating Force</t>
  </si>
  <si>
    <t>Gas Pressure</t>
  </si>
  <si>
    <t>2014677-0750</t>
  </si>
  <si>
    <t>3016977-015</t>
  </si>
  <si>
    <t>2014677-1500</t>
  </si>
  <si>
    <t>3016977-040</t>
  </si>
  <si>
    <t>2014677-3000</t>
  </si>
  <si>
    <t>3016977-060</t>
  </si>
  <si>
    <t>2014677-5000</t>
  </si>
  <si>
    <t>3016977-090</t>
  </si>
  <si>
    <t>2014677-7500</t>
  </si>
  <si>
    <t>Bilder</t>
  </si>
  <si>
    <t/>
  </si>
  <si>
    <t>Integrated Base Mount</t>
  </si>
  <si>
    <t>Total Needed Oil Volume</t>
  </si>
  <si>
    <t>No Option</t>
  </si>
  <si>
    <t>Proximity Sensor</t>
  </si>
  <si>
    <t>No Order No.</t>
  </si>
  <si>
    <t>Velocity</t>
  </si>
  <si>
    <t>4. Selection Summary</t>
  </si>
  <si>
    <t>HCP Accumulator gas charge pressure</t>
  </si>
  <si>
    <t>Max Frequency (SPM)</t>
  </si>
  <si>
    <t>Spm Limit</t>
  </si>
  <si>
    <t>Oil Volume Full Stroke</t>
  </si>
  <si>
    <t>Supplied Oil Volume Used Stroke</t>
  </si>
  <si>
    <t>Max 0,8 m/s down stroke</t>
  </si>
  <si>
    <t>HCP 015-035     Compact Cam Velocity: 0,8 m/s     Ratio: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</si>
</sst>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quotePrefix="1" applyFill="1"/>
    <xf numFmtId="0" fontId="0" fillId="3" borderId="0" xfId="0" applyFill="1"/>
    <xf numFmtId="0" fontId="0" fillId="0" borderId="0" xfId="0" quotePrefix="1"/>
    <xf numFmtId="0" fontId="1" fillId="0" borderId="0" xfId="0" applyFont="1" applyFill="1"/>
    <xf numFmtId="0" fontId="0" fillId="2" borderId="0" xfId="0" applyFill="1" applyAlignment="1">
      <alignment horizontal="left"/>
    </xf>
    <xf numFmtId="0" fontId="0" fillId="6" borderId="0" xfId="0" applyFill="1"/>
    <xf numFmtId="0" fontId="0" fillId="2" borderId="0" xfId="0" quotePrefix="1" applyFill="1"/>
    <xf numFmtId="164" fontId="0" fillId="0" borderId="0" xfId="0" quotePrefix="1" applyNumberFormat="1" applyFill="1"/>
    <xf numFmtId="0" fontId="0" fillId="11" borderId="0" xfId="0" applyFill="1"/>
    <xf numFmtId="0" fontId="0" fillId="11" borderId="0" xfId="0" applyFill="1" applyBorder="1"/>
    <xf numFmtId="0" fontId="2" fillId="11" borderId="0" xfId="0" applyFont="1" applyFill="1" applyBorder="1" applyProtection="1">
      <protection hidden="1"/>
    </xf>
    <xf numFmtId="0" fontId="2" fillId="4" borderId="0" xfId="0" applyFont="1" applyFill="1" applyProtection="1"/>
    <xf numFmtId="0" fontId="2" fillId="4" borderId="0" xfId="0" applyFont="1" applyFill="1" applyBorder="1" applyProtection="1"/>
    <xf numFmtId="0" fontId="0" fillId="4" borderId="0" xfId="0" applyFill="1" applyProtection="1"/>
    <xf numFmtId="0" fontId="0" fillId="2" borderId="0" xfId="0" applyFill="1" applyProtection="1"/>
    <xf numFmtId="0" fontId="7" fillId="2" borderId="0" xfId="0" applyFont="1" applyFill="1" applyProtection="1"/>
    <xf numFmtId="14" fontId="7" fillId="2" borderId="0" xfId="0" applyNumberFormat="1" applyFont="1" applyFill="1" applyProtection="1"/>
    <xf numFmtId="20" fontId="7" fillId="2" borderId="0" xfId="0" applyNumberFormat="1" applyFont="1" applyFill="1" applyProtection="1"/>
    <xf numFmtId="0" fontId="9" fillId="2" borderId="2" xfId="0" applyFont="1" applyFill="1" applyBorder="1" applyProtection="1"/>
    <xf numFmtId="0" fontId="0" fillId="2" borderId="2" xfId="0" applyFill="1" applyBorder="1" applyProtection="1"/>
    <xf numFmtId="0" fontId="8" fillId="2" borderId="0" xfId="0" applyFont="1" applyFill="1" applyProtection="1"/>
    <xf numFmtId="0" fontId="0" fillId="2" borderId="0" xfId="0" applyFill="1" applyAlignment="1" applyProtection="1">
      <alignment horizontal="left"/>
    </xf>
    <xf numFmtId="2" fontId="0" fillId="2" borderId="0" xfId="0" applyNumberFormat="1" applyFill="1" applyProtection="1"/>
    <xf numFmtId="0" fontId="4" fillId="2" borderId="0" xfId="0" applyFont="1" applyFill="1" applyProtection="1"/>
    <xf numFmtId="0" fontId="0" fillId="2" borderId="0" xfId="0" applyFill="1" applyBorder="1" applyProtection="1"/>
    <xf numFmtId="164" fontId="0" fillId="2" borderId="0" xfId="0" applyNumberFormat="1" applyFill="1" applyProtection="1"/>
    <xf numFmtId="0" fontId="6" fillId="2" borderId="0" xfId="0" applyFont="1" applyFill="1" applyProtection="1"/>
    <xf numFmtId="1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 applyProtection="1"/>
    <xf numFmtId="0" fontId="4" fillId="2" borderId="0" xfId="0" applyFont="1" applyFill="1" applyBorder="1" applyProtection="1"/>
    <xf numFmtId="0" fontId="8" fillId="2" borderId="0" xfId="0" applyFont="1" applyFill="1" applyBorder="1" applyProtection="1"/>
    <xf numFmtId="0" fontId="0" fillId="2" borderId="3" xfId="0" applyFill="1" applyBorder="1" applyProtection="1"/>
    <xf numFmtId="0" fontId="0" fillId="2" borderId="0" xfId="0" applyFont="1" applyFill="1" applyProtection="1"/>
    <xf numFmtId="0" fontId="0" fillId="2" borderId="0" xfId="0" applyFill="1" applyAlignment="1" applyProtection="1">
      <alignment horizontal="right"/>
    </xf>
    <xf numFmtId="0" fontId="2" fillId="2" borderId="0" xfId="0" applyFont="1" applyFill="1" applyProtection="1"/>
    <xf numFmtId="0" fontId="0" fillId="11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10" borderId="0" xfId="0" applyFill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5" borderId="0" xfId="0" applyFill="1" applyProtection="1">
      <protection locked="0"/>
    </xf>
    <xf numFmtId="164" fontId="0" fillId="0" borderId="0" xfId="0" applyNumberFormat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Protection="1">
      <protection locked="0"/>
    </xf>
    <xf numFmtId="165" fontId="0" fillId="5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Fill="1" applyBorder="1" applyProtection="1"/>
    <xf numFmtId="0" fontId="5" fillId="2" borderId="0" xfId="2" applyFill="1" applyProtection="1">
      <protection locked="0"/>
    </xf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List" dx="16" fmlaLink="$D$6" fmlaRange="$B$6:$B$8" noThreeD="1" sel="1" val="0"/>
</file>

<file path=xl/ctrlProps/ctrlProp2.xml><?xml version="1.0" encoding="utf-8"?>
<formControlPr xmlns="http://schemas.microsoft.com/office/spreadsheetml/2009/9/main" objectType="List" dx="16" fmlaLink="$B$3" fmlaRange="$F$2:$F3" noThreeD="1" sel="1" val="0"/>
</file>

<file path=xl/ctrlProps/ctrlProp3.xml><?xml version="1.0" encoding="utf-8"?>
<formControlPr xmlns="http://schemas.microsoft.com/office/spreadsheetml/2009/9/main" objectType="List" dx="16" fmlaLink="$C$3" fmlaRange="$G$2:$G6" noThreeD="1" sel="1" val="0"/>
</file>

<file path=xl/ctrlProps/ctrlProp4.xml><?xml version="1.0" encoding="utf-8"?>
<formControlPr xmlns="http://schemas.microsoft.com/office/spreadsheetml/2009/9/main" objectType="List" dx="16" fmlaLink="$D$3" fmlaRange="$H$2:$H4" noThreeD="1" sel="1" val="0"/>
</file>

<file path=xl/ctrlProps/ctrlProp5.xml><?xml version="1.0" encoding="utf-8"?>
<formControlPr xmlns="http://schemas.microsoft.com/office/spreadsheetml/2009/9/main" objectType="List" dx="16" fmlaLink="$N$20" fmlaRange="$R$10:$R12" noThreeD="1" sel="1" val="0"/>
</file>

<file path=xl/ctrlProps/ctrlProp6.xml><?xml version="1.0" encoding="utf-8"?>
<formControlPr xmlns="http://schemas.microsoft.com/office/spreadsheetml/2009/9/main" objectType="List" dx="16" fmlaLink="$D$16" fmlaRange="$B$15:$B$16" noThreeD="1" sel="1" val="0"/>
</file>

<file path=xl/ctrlProps/ctrlProp7.xml><?xml version="1.0" encoding="utf-8"?>
<formControlPr xmlns="http://schemas.microsoft.com/office/spreadsheetml/2009/9/main" objectType="List" dx="16" fmlaLink="$B$12" fmlaRange="$F$11:$F11" noThreeD="1" sel="1" val="0"/>
</file>

<file path=xl/ctrlProps/ctrlProp8.xml><?xml version="1.0" encoding="utf-8"?>
<formControlPr xmlns="http://schemas.microsoft.com/office/spreadsheetml/2009/9/main" objectType="List" dx="16" fmlaLink="$M$58" fmlaRange="mounting_list" noThreeD="1" sel="1" val="0"/>
</file>

<file path=xl/ctrlProps/ctrlProp9.xml><?xml version="1.0" encoding="utf-8"?>
<formControlPr xmlns="http://schemas.microsoft.com/office/spreadsheetml/2009/9/main" objectType="List" dx="16" fmlaLink="$M$65" fmlaRange="Option_list" noThreeD="1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657225</xdr:colOff>
          <xdr:row>11</xdr:row>
          <xdr:rowOff>47625</xdr:rowOff>
        </xdr:from>
        <xdr:to>
          <xdr:col>22</xdr:col>
          <xdr:colOff>19050</xdr:colOff>
          <xdr:row>16</xdr:row>
          <xdr:rowOff>38100</xdr:rowOff>
        </xdr:to>
        <xdr:sp macro="" textlink="">
          <xdr:nvSpPr>
            <xdr:cNvPr id="1025" name="List_Box_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276225</xdr:colOff>
          <xdr:row>11</xdr:row>
          <xdr:rowOff>47625</xdr:rowOff>
        </xdr:from>
        <xdr:to>
          <xdr:col>24</xdr:col>
          <xdr:colOff>581025</xdr:colOff>
          <xdr:row>16</xdr:row>
          <xdr:rowOff>38100</xdr:rowOff>
        </xdr:to>
        <xdr:sp macro="" textlink="">
          <xdr:nvSpPr>
            <xdr:cNvPr id="1026" name="List_Box_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11</xdr:row>
          <xdr:rowOff>47625</xdr:rowOff>
        </xdr:from>
        <xdr:to>
          <xdr:col>26</xdr:col>
          <xdr:colOff>152400</xdr:colOff>
          <xdr:row>16</xdr:row>
          <xdr:rowOff>38100</xdr:rowOff>
        </xdr:to>
        <xdr:sp macro="" textlink="">
          <xdr:nvSpPr>
            <xdr:cNvPr id="1027" name="List_Box_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314325</xdr:colOff>
          <xdr:row>11</xdr:row>
          <xdr:rowOff>47625</xdr:rowOff>
        </xdr:from>
        <xdr:to>
          <xdr:col>27</xdr:col>
          <xdr:colOff>371475</xdr:colOff>
          <xdr:row>16</xdr:row>
          <xdr:rowOff>38100</xdr:rowOff>
        </xdr:to>
        <xdr:sp macro="" textlink="">
          <xdr:nvSpPr>
            <xdr:cNvPr id="1028" name="List_Box_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19</xdr:col>
      <xdr:colOff>573688</xdr:colOff>
      <xdr:row>0</xdr:row>
      <xdr:rowOff>70906</xdr:rowOff>
    </xdr:from>
    <xdr:to>
      <xdr:col>27</xdr:col>
      <xdr:colOff>391583</xdr:colOff>
      <xdr:row>2</xdr:row>
      <xdr:rowOff>275165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688" y="70906"/>
          <a:ext cx="5405895" cy="585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sv-SE" sz="3200" b="1">
              <a:latin typeface="Arial" panose="020B0604020202020204" pitchFamily="34" charset="0"/>
              <a:cs typeface="Arial" panose="020B0604020202020204" pitchFamily="34" charset="0"/>
            </a:rPr>
            <a:t>Flex</a:t>
          </a:r>
          <a:r>
            <a:rPr lang="sv-SE" sz="3200" b="1" baseline="0">
              <a:latin typeface="Arial" panose="020B0604020202020204" pitchFamily="34" charset="0"/>
              <a:cs typeface="Arial" panose="020B0604020202020204" pitchFamily="34" charset="0"/>
            </a:rPr>
            <a:t> Cam Configurator</a:t>
          </a:r>
          <a:r>
            <a:rPr lang="sv-SE" sz="2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sv-SE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19050</xdr:colOff>
      <xdr:row>73</xdr:row>
      <xdr:rowOff>76200</xdr:rowOff>
    </xdr:from>
    <xdr:to>
      <xdr:col>29</xdr:col>
      <xdr:colOff>438150</xdr:colOff>
      <xdr:row>73</xdr:row>
      <xdr:rowOff>76200</xdr:rowOff>
    </xdr:to>
    <xdr:cxnSp macro="">
      <xdr:nvCxnSpPr>
        <xdr:cNvPr id="15" name="Ra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28650" y="9410700"/>
          <a:ext cx="640080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11</xdr:row>
          <xdr:rowOff>57150</xdr:rowOff>
        </xdr:from>
        <xdr:to>
          <xdr:col>29</xdr:col>
          <xdr:colOff>133350</xdr:colOff>
          <xdr:row>16</xdr:row>
          <xdr:rowOff>47625</xdr:rowOff>
        </xdr:to>
        <xdr:sp macro="" textlink="">
          <xdr:nvSpPr>
            <xdr:cNvPr id="1037" name="List_Box_5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19</xdr:col>
      <xdr:colOff>625478</xdr:colOff>
      <xdr:row>8</xdr:row>
      <xdr:rowOff>127002</xdr:rowOff>
    </xdr:from>
    <xdr:to>
      <xdr:col>21</xdr:col>
      <xdr:colOff>572003</xdr:colOff>
      <xdr:row>10</xdr:row>
      <xdr:rowOff>3178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2501228" y="1820335"/>
          <a:ext cx="1639858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Cam /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Force Cylinder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24148</xdr:colOff>
      <xdr:row>8</xdr:row>
      <xdr:rowOff>127002</xdr:rowOff>
    </xdr:from>
    <xdr:to>
      <xdr:col>29</xdr:col>
      <xdr:colOff>508012</xdr:colOff>
      <xdr:row>10</xdr:row>
      <xdr:rowOff>25977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577981" y="1820335"/>
          <a:ext cx="1150614" cy="279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Quantity</a:t>
          </a:r>
        </a:p>
      </xdr:txBody>
    </xdr:sp>
    <xdr:clientData/>
  </xdr:twoCellAnchor>
  <xdr:twoCellAnchor>
    <xdr:from>
      <xdr:col>22</xdr:col>
      <xdr:colOff>163403</xdr:colOff>
      <xdr:row>8</xdr:row>
      <xdr:rowOff>127002</xdr:rowOff>
    </xdr:from>
    <xdr:to>
      <xdr:col>24</xdr:col>
      <xdr:colOff>496357</xdr:colOff>
      <xdr:row>10</xdr:row>
      <xdr:rowOff>61491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483903" y="1820335"/>
          <a:ext cx="1835787" cy="315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</a:p>
      </xdr:txBody>
    </xdr:sp>
    <xdr:clientData/>
  </xdr:twoCellAnchor>
  <xdr:twoCellAnchor>
    <xdr:from>
      <xdr:col>25</xdr:col>
      <xdr:colOff>61915</xdr:colOff>
      <xdr:row>8</xdr:row>
      <xdr:rowOff>127002</xdr:rowOff>
    </xdr:from>
    <xdr:to>
      <xdr:col>26</xdr:col>
      <xdr:colOff>243412</xdr:colOff>
      <xdr:row>11</xdr:row>
      <xdr:rowOff>1054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551998" y="1820335"/>
          <a:ext cx="911747" cy="445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Size (kN)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33</xdr:row>
          <xdr:rowOff>152400</xdr:rowOff>
        </xdr:from>
        <xdr:to>
          <xdr:col>23</xdr:col>
          <xdr:colOff>276225</xdr:colOff>
          <xdr:row>39</xdr:row>
          <xdr:rowOff>38100</xdr:rowOff>
        </xdr:to>
        <xdr:sp macro="" textlink="">
          <xdr:nvSpPr>
            <xdr:cNvPr id="1042" name="ListBox_1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476250</xdr:colOff>
          <xdr:row>33</xdr:row>
          <xdr:rowOff>152400</xdr:rowOff>
        </xdr:from>
        <xdr:to>
          <xdr:col>29</xdr:col>
          <xdr:colOff>361950</xdr:colOff>
          <xdr:row>39</xdr:row>
          <xdr:rowOff>38100</xdr:rowOff>
        </xdr:to>
        <xdr:sp macro="" textlink="">
          <xdr:nvSpPr>
            <xdr:cNvPr id="1044" name="ListBox_12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19</xdr:col>
      <xdr:colOff>609600</xdr:colOff>
      <xdr:row>32</xdr:row>
      <xdr:rowOff>57150</xdr:rowOff>
    </xdr:from>
    <xdr:to>
      <xdr:col>21</xdr:col>
      <xdr:colOff>556125</xdr:colOff>
      <xdr:row>33</xdr:row>
      <xdr:rowOff>123826</xdr:rowOff>
    </xdr:to>
    <xdr:sp macro="" textlink="">
      <xdr:nvSpPr>
        <xdr:cNvPr id="26" name="textruta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1593175" y="6962775"/>
          <a:ext cx="1641975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Power Unit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Type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400050</xdr:colOff>
      <xdr:row>32</xdr:row>
      <xdr:rowOff>57150</xdr:rowOff>
    </xdr:from>
    <xdr:to>
      <xdr:col>28</xdr:col>
      <xdr:colOff>647700</xdr:colOff>
      <xdr:row>33</xdr:row>
      <xdr:rowOff>123826</xdr:rowOff>
    </xdr:to>
    <xdr:sp macro="" textlink="">
      <xdr:nvSpPr>
        <xdr:cNvPr id="27" name="textrut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86175" y="7038975"/>
          <a:ext cx="3648075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Recommended Power Units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and Operating Conditions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254005</xdr:colOff>
      <xdr:row>8</xdr:row>
      <xdr:rowOff>127002</xdr:rowOff>
    </xdr:from>
    <xdr:to>
      <xdr:col>28</xdr:col>
      <xdr:colOff>74088</xdr:colOff>
      <xdr:row>11</xdr:row>
      <xdr:rowOff>31752</xdr:rowOff>
    </xdr:to>
    <xdr:sp macro="" textlink="">
      <xdr:nvSpPr>
        <xdr:cNvPr id="29" name="textruta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7474338" y="1820335"/>
          <a:ext cx="1153583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Stroke Length (mm)</a:t>
          </a:r>
        </a:p>
      </xdr:txBody>
    </xdr:sp>
    <xdr:clientData/>
  </xdr:twoCellAnchor>
  <xdr:twoCellAnchor>
    <xdr:from>
      <xdr:col>12</xdr:col>
      <xdr:colOff>206375</xdr:colOff>
      <xdr:row>3</xdr:row>
      <xdr:rowOff>15875</xdr:rowOff>
    </xdr:from>
    <xdr:to>
      <xdr:col>14</xdr:col>
      <xdr:colOff>527050</xdr:colOff>
      <xdr:row>7</xdr:row>
      <xdr:rowOff>184150</xdr:rowOff>
    </xdr:to>
    <xdr:sp macro="" textlink="">
      <xdr:nvSpPr>
        <xdr:cNvPr id="11" name="Rektange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045825" y="692150"/>
          <a:ext cx="1854200" cy="9969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638175</xdr:colOff>
          <xdr:row>23</xdr:row>
          <xdr:rowOff>57150</xdr:rowOff>
        </xdr:from>
        <xdr:to>
          <xdr:col>21</xdr:col>
          <xdr:colOff>742950</xdr:colOff>
          <xdr:row>26</xdr:row>
          <xdr:rowOff>142875</xdr:rowOff>
        </xdr:to>
        <xdr:sp macro="" textlink="">
          <xdr:nvSpPr>
            <xdr:cNvPr id="1051" name="MountingListBox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361950</xdr:colOff>
          <xdr:row>23</xdr:row>
          <xdr:rowOff>66675</xdr:rowOff>
        </xdr:from>
        <xdr:to>
          <xdr:col>24</xdr:col>
          <xdr:colOff>657225</xdr:colOff>
          <xdr:row>26</xdr:row>
          <xdr:rowOff>152400</xdr:rowOff>
        </xdr:to>
        <xdr:sp macro="" textlink="">
          <xdr:nvSpPr>
            <xdr:cNvPr id="1053" name="OptionsListBox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19</xdr:col>
      <xdr:colOff>561975</xdr:colOff>
      <xdr:row>21</xdr:row>
      <xdr:rowOff>114300</xdr:rowOff>
    </xdr:from>
    <xdr:to>
      <xdr:col>21</xdr:col>
      <xdr:colOff>704429</xdr:colOff>
      <xdr:row>23</xdr:row>
      <xdr:rowOff>48789</xdr:rowOff>
    </xdr:to>
    <xdr:sp macro="" textlink="">
      <xdr:nvSpPr>
        <xdr:cNvPr id="28" name="textru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61975" y="4743450"/>
          <a:ext cx="1837904" cy="315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Mounting Possibilities</a:t>
          </a:r>
        </a:p>
      </xdr:txBody>
    </xdr:sp>
    <xdr:clientData/>
  </xdr:twoCellAnchor>
  <xdr:twoCellAnchor>
    <xdr:from>
      <xdr:col>22</xdr:col>
      <xdr:colOff>304800</xdr:colOff>
      <xdr:row>21</xdr:row>
      <xdr:rowOff>104775</xdr:rowOff>
    </xdr:from>
    <xdr:to>
      <xdr:col>24</xdr:col>
      <xdr:colOff>637754</xdr:colOff>
      <xdr:row>23</xdr:row>
      <xdr:rowOff>39264</xdr:rowOff>
    </xdr:to>
    <xdr:sp macro="" textlink="">
      <xdr:nvSpPr>
        <xdr:cNvPr id="30" name="textruta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752725" y="4733925"/>
          <a:ext cx="1837904" cy="315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Options</a:t>
          </a:r>
        </a:p>
      </xdr:txBody>
    </xdr:sp>
    <xdr:clientData/>
  </xdr:twoCellAnchor>
  <xdr:twoCellAnchor>
    <xdr:from>
      <xdr:col>19</xdr:col>
      <xdr:colOff>592667</xdr:colOff>
      <xdr:row>75</xdr:row>
      <xdr:rowOff>31750</xdr:rowOff>
    </xdr:from>
    <xdr:to>
      <xdr:col>23</xdr:col>
      <xdr:colOff>597956</xdr:colOff>
      <xdr:row>81</xdr:row>
      <xdr:rowOff>42333</xdr:rowOff>
    </xdr:to>
    <xdr:sp macro="" textlink="">
      <xdr:nvSpPr>
        <xdr:cNvPr id="527" name="textruta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592667" y="14763750"/>
          <a:ext cx="3286122" cy="1153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Do not exceed the limits stated in the KALLER catalog. Forces and other parameters are calculated from the KALLER catalog values. O</a:t>
          </a:r>
          <a:r>
            <a:rPr lang="sv-SE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ther</a:t>
          </a:r>
          <a:r>
            <a:rPr lang="sv-SE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limits and combinations can be accepted under special conditions if approved by KALLER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sv-SE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571500</xdr:colOff>
      <xdr:row>75</xdr:row>
      <xdr:rowOff>31750</xdr:rowOff>
    </xdr:from>
    <xdr:to>
      <xdr:col>29</xdr:col>
      <xdr:colOff>365125</xdr:colOff>
      <xdr:row>80</xdr:row>
      <xdr:rowOff>0</xdr:rowOff>
    </xdr:to>
    <xdr:sp macro="" textlink="">
      <xdr:nvSpPr>
        <xdr:cNvPr id="528" name="textruta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4519083" y="14763750"/>
          <a:ext cx="3190875" cy="920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In no event shall KALLER be liable for any direct, indirect, incidental, punitive, or consequential damage.</a:t>
          </a:r>
        </a:p>
      </xdr:txBody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31</xdr:col>
      <xdr:colOff>427302</xdr:colOff>
      <xdr:row>2</xdr:row>
      <xdr:rowOff>246942</xdr:rowOff>
    </xdr:to>
    <xdr:pic>
      <xdr:nvPicPr>
        <xdr:cNvPr id="21" name="log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6550" y="0"/>
          <a:ext cx="2322777" cy="627942"/>
        </a:xfrm>
        <a:prstGeom prst="rect">
          <a:avLst/>
        </a:prstGeom>
      </xdr:spPr>
    </xdr:pic>
    <xdr:clientData/>
  </xdr:twoCellAnchor>
  <xdr:twoCellAnchor editAs="oneCell">
    <xdr:from>
      <xdr:col>33</xdr:col>
      <xdr:colOff>619125</xdr:colOff>
      <xdr:row>7</xdr:row>
      <xdr:rowOff>176892</xdr:rowOff>
    </xdr:from>
    <xdr:to>
      <xdr:col>41</xdr:col>
      <xdr:colOff>183540</xdr:colOff>
      <xdr:row>21</xdr:row>
      <xdr:rowOff>95249</xdr:rowOff>
    </xdr:to>
    <xdr:pic>
      <xdr:nvPicPr>
        <xdr:cNvPr id="22" name="CC_Imag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9250" y="1685017"/>
          <a:ext cx="5009540" cy="2648857"/>
        </a:xfrm>
        <a:prstGeom prst="rect">
          <a:avLst/>
        </a:prstGeom>
      </xdr:spPr>
    </xdr:pic>
    <xdr:clientData/>
  </xdr:twoCellAnchor>
  <xdr:twoCellAnchor editAs="oneCell">
    <xdr:from>
      <xdr:col>33</xdr:col>
      <xdr:colOff>504032</xdr:colOff>
      <xdr:row>8</xdr:row>
      <xdr:rowOff>3968</xdr:rowOff>
    </xdr:from>
    <xdr:to>
      <xdr:col>40</xdr:col>
      <xdr:colOff>405817</xdr:colOff>
      <xdr:row>14</xdr:row>
      <xdr:rowOff>160166</xdr:rowOff>
    </xdr:to>
    <xdr:pic>
      <xdr:nvPicPr>
        <xdr:cNvPr id="31" name="CC-H_Image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4157" y="1702593"/>
          <a:ext cx="4680160" cy="1362698"/>
        </a:xfrm>
        <a:prstGeom prst="rect">
          <a:avLst/>
        </a:prstGeom>
      </xdr:spPr>
    </xdr:pic>
    <xdr:clientData/>
  </xdr:twoCellAnchor>
  <xdr:twoCellAnchor editAs="oneCell">
    <xdr:from>
      <xdr:col>33</xdr:col>
      <xdr:colOff>632166</xdr:colOff>
      <xdr:row>8</xdr:row>
      <xdr:rowOff>15874</xdr:rowOff>
    </xdr:from>
    <xdr:to>
      <xdr:col>41</xdr:col>
      <xdr:colOff>3595</xdr:colOff>
      <xdr:row>24</xdr:row>
      <xdr:rowOff>42356</xdr:rowOff>
    </xdr:to>
    <xdr:pic>
      <xdr:nvPicPr>
        <xdr:cNvPr id="32" name="HCF_Image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22291" y="1714499"/>
          <a:ext cx="4816554" cy="3137982"/>
        </a:xfrm>
        <a:prstGeom prst="rect">
          <a:avLst/>
        </a:prstGeom>
      </xdr:spPr>
    </xdr:pic>
    <xdr:clientData/>
  </xdr:twoCellAnchor>
  <xdr:twoCellAnchor editAs="oneCell">
    <xdr:from>
      <xdr:col>42</xdr:col>
      <xdr:colOff>63501</xdr:colOff>
      <xdr:row>7</xdr:row>
      <xdr:rowOff>134938</xdr:rowOff>
    </xdr:from>
    <xdr:to>
      <xdr:col>44</xdr:col>
      <xdr:colOff>6192</xdr:colOff>
      <xdr:row>19</xdr:row>
      <xdr:rowOff>48929</xdr:rowOff>
    </xdr:to>
    <xdr:pic>
      <xdr:nvPicPr>
        <xdr:cNvPr id="33" name="HCP-SP_Image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65501" y="1643063"/>
          <a:ext cx="1276191" cy="2263491"/>
        </a:xfrm>
        <a:prstGeom prst="rect">
          <a:avLst/>
        </a:prstGeom>
      </xdr:spPr>
    </xdr:pic>
    <xdr:clientData/>
  </xdr:twoCellAnchor>
  <xdr:twoCellAnchor editAs="oneCell">
    <xdr:from>
      <xdr:col>34</xdr:col>
      <xdr:colOff>19844</xdr:colOff>
      <xdr:row>8</xdr:row>
      <xdr:rowOff>3969</xdr:rowOff>
    </xdr:from>
    <xdr:to>
      <xdr:col>41</xdr:col>
      <xdr:colOff>270041</xdr:colOff>
      <xdr:row>16</xdr:row>
      <xdr:rowOff>12500</xdr:rowOff>
    </xdr:to>
    <xdr:pic>
      <xdr:nvPicPr>
        <xdr:cNvPr id="34" name="CCF-H_Image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76719" y="1702594"/>
          <a:ext cx="5028572" cy="1596031"/>
        </a:xfrm>
        <a:prstGeom prst="rect">
          <a:avLst/>
        </a:prstGeom>
      </xdr:spPr>
    </xdr:pic>
    <xdr:clientData/>
  </xdr:twoCellAnchor>
  <xdr:twoCellAnchor editAs="oneCell">
    <xdr:from>
      <xdr:col>33</xdr:col>
      <xdr:colOff>627063</xdr:colOff>
      <xdr:row>29</xdr:row>
      <xdr:rowOff>138906</xdr:rowOff>
    </xdr:from>
    <xdr:to>
      <xdr:col>41</xdr:col>
      <xdr:colOff>100193</xdr:colOff>
      <xdr:row>46</xdr:row>
      <xdr:rowOff>101993</xdr:rowOff>
    </xdr:to>
    <xdr:pic>
      <xdr:nvPicPr>
        <xdr:cNvPr id="36" name="HCP_Imag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17188" y="5965031"/>
          <a:ext cx="4918255" cy="3201587"/>
        </a:xfrm>
        <a:prstGeom prst="rect">
          <a:avLst/>
        </a:prstGeom>
      </xdr:spPr>
    </xdr:pic>
    <xdr:clientData/>
  </xdr:twoCellAnchor>
  <xdr:twoCellAnchor editAs="oneCell">
    <xdr:from>
      <xdr:col>33</xdr:col>
      <xdr:colOff>638969</xdr:colOff>
      <xdr:row>21</xdr:row>
      <xdr:rowOff>178594</xdr:rowOff>
    </xdr:from>
    <xdr:to>
      <xdr:col>41</xdr:col>
      <xdr:colOff>221623</xdr:colOff>
      <xdr:row>28</xdr:row>
      <xdr:rowOff>127633</xdr:rowOff>
    </xdr:to>
    <xdr:pic>
      <xdr:nvPicPr>
        <xdr:cNvPr id="37" name="TopMount_Image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529094" y="4417219"/>
          <a:ext cx="5027779" cy="1282539"/>
        </a:xfrm>
        <a:prstGeom prst="rect">
          <a:avLst/>
        </a:prstGeom>
      </xdr:spPr>
    </xdr:pic>
    <xdr:clientData/>
  </xdr:twoCellAnchor>
  <xdr:twoCellAnchor editAs="oneCell">
    <xdr:from>
      <xdr:col>33</xdr:col>
      <xdr:colOff>635001</xdr:colOff>
      <xdr:row>8</xdr:row>
      <xdr:rowOff>15875</xdr:rowOff>
    </xdr:from>
    <xdr:to>
      <xdr:col>41</xdr:col>
      <xdr:colOff>166067</xdr:colOff>
      <xdr:row>19</xdr:row>
      <xdr:rowOff>177509</xdr:rowOff>
    </xdr:to>
    <xdr:pic>
      <xdr:nvPicPr>
        <xdr:cNvPr id="38" name="CCF_Image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25126" y="1714500"/>
          <a:ext cx="4976191" cy="2320634"/>
        </a:xfrm>
        <a:prstGeom prst="rect">
          <a:avLst/>
        </a:prstGeom>
      </xdr:spPr>
    </xdr:pic>
    <xdr:clientData/>
  </xdr:twoCellAnchor>
  <xdr:twoCellAnchor editAs="oneCell">
    <xdr:from>
      <xdr:col>33</xdr:col>
      <xdr:colOff>603250</xdr:colOff>
      <xdr:row>29</xdr:row>
      <xdr:rowOff>158750</xdr:rowOff>
    </xdr:from>
    <xdr:to>
      <xdr:col>41</xdr:col>
      <xdr:colOff>228761</xdr:colOff>
      <xdr:row>38</xdr:row>
      <xdr:rowOff>135519</xdr:rowOff>
    </xdr:to>
    <xdr:pic>
      <xdr:nvPicPr>
        <xdr:cNvPr id="40" name="HCPS_Image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93375" y="5984875"/>
          <a:ext cx="5070636" cy="1691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ller.com?subject=Feedback%20Flex%20Cam%20Configurato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X471"/>
  <sheetViews>
    <sheetView showRowColHeaders="0" tabSelected="1" topLeftCell="T1" zoomScaleNormal="100" workbookViewId="0">
      <selection activeCell="X52" sqref="X52"/>
    </sheetView>
  </sheetViews>
  <sheetFormatPr defaultColWidth="10" defaultRowHeight="15" x14ac:dyDescent="0.25"/>
  <cols>
    <col min="1" max="1" width="8.28515625" hidden="1" customWidth="1"/>
    <col min="2" max="2" width="7.28515625" hidden="1" customWidth="1"/>
    <col min="3" max="3" width="8.7109375" hidden="1" customWidth="1"/>
    <col min="4" max="4" width="9.140625" hidden="1" customWidth="1"/>
    <col min="5" max="5" width="9.85546875" hidden="1" customWidth="1"/>
    <col min="6" max="6" width="8.42578125" hidden="1" customWidth="1"/>
    <col min="7" max="7" width="10" hidden="1" customWidth="1"/>
    <col min="8" max="8" width="29.5703125" hidden="1" customWidth="1"/>
    <col min="9" max="9" width="10.28515625" hidden="1" customWidth="1"/>
    <col min="10" max="10" width="9.42578125" hidden="1" customWidth="1"/>
    <col min="11" max="11" width="9.5703125" hidden="1" customWidth="1"/>
    <col min="12" max="12" width="11.85546875" hidden="1" customWidth="1"/>
    <col min="13" max="13" width="10.85546875" hidden="1" customWidth="1"/>
    <col min="14" max="14" width="11.28515625" hidden="1" customWidth="1"/>
    <col min="15" max="15" width="11" hidden="1" customWidth="1"/>
    <col min="16" max="16" width="11.7109375" hidden="1" customWidth="1"/>
    <col min="17" max="17" width="9.85546875" hidden="1" customWidth="1"/>
    <col min="18" max="18" width="10.42578125" hidden="1" customWidth="1"/>
    <col min="19" max="19" width="8.85546875" hidden="1" customWidth="1"/>
    <col min="21" max="21" width="15.42578125" customWidth="1"/>
    <col min="22" max="22" width="11.28515625" bestFit="1" customWidth="1"/>
    <col min="23" max="23" width="12.5703125" customWidth="1"/>
    <col min="26" max="26" width="11" customWidth="1"/>
    <col min="31" max="31" width="8.42578125" customWidth="1"/>
    <col min="32" max="32" width="9.85546875" customWidth="1"/>
    <col min="34" max="34" width="10" style="1"/>
    <col min="35" max="35" width="11.5703125" bestFit="1" customWidth="1"/>
  </cols>
  <sheetData>
    <row r="1" spans="1:50" x14ac:dyDescent="0.25">
      <c r="A1" s="41"/>
      <c r="B1" s="41"/>
      <c r="C1" s="41"/>
      <c r="D1" s="41"/>
      <c r="E1" s="41"/>
      <c r="F1" s="42" t="s">
        <v>200</v>
      </c>
      <c r="G1" s="42" t="s">
        <v>201</v>
      </c>
      <c r="H1" s="42" t="s">
        <v>202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14"/>
      <c r="U1" s="14"/>
      <c r="V1" s="14"/>
      <c r="W1" s="14"/>
      <c r="X1" s="14"/>
      <c r="Y1" s="14"/>
      <c r="Z1" s="14"/>
      <c r="AA1" s="14"/>
      <c r="AB1" s="14"/>
      <c r="AC1" s="15"/>
      <c r="AD1" s="14"/>
      <c r="AE1" s="14"/>
      <c r="AF1" s="14"/>
      <c r="AG1" s="16"/>
      <c r="AH1" s="13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x14ac:dyDescent="0.25">
      <c r="A2" s="41"/>
      <c r="B2" s="42" t="s">
        <v>197</v>
      </c>
      <c r="C2" s="42" t="s">
        <v>198</v>
      </c>
      <c r="D2" s="42" t="s">
        <v>199</v>
      </c>
      <c r="E2" s="41"/>
      <c r="F2" s="41" t="s">
        <v>16</v>
      </c>
      <c r="G2" s="41">
        <v>15</v>
      </c>
      <c r="H2" s="41">
        <v>10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4"/>
      <c r="U2" s="14"/>
      <c r="V2" s="14"/>
      <c r="W2" s="14"/>
      <c r="X2" s="14"/>
      <c r="Y2" s="14"/>
      <c r="Z2" s="14"/>
      <c r="AA2" s="15"/>
      <c r="AB2" s="15"/>
      <c r="AC2" s="15"/>
      <c r="AD2" s="14"/>
      <c r="AE2" s="14"/>
      <c r="AF2" s="14"/>
      <c r="AG2" s="16"/>
      <c r="AH2" s="13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ht="23.25" customHeight="1" x14ac:dyDescent="0.25">
      <c r="A3" s="41"/>
      <c r="B3" s="43">
        <v>1</v>
      </c>
      <c r="C3" s="43">
        <v>1</v>
      </c>
      <c r="D3" s="43">
        <v>1</v>
      </c>
      <c r="E3" s="41"/>
      <c r="F3" s="41" t="s">
        <v>22</v>
      </c>
      <c r="G3" s="41">
        <v>40</v>
      </c>
      <c r="H3" s="41">
        <v>24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5"/>
      <c r="U3" s="14"/>
      <c r="V3" s="14"/>
      <c r="W3" s="14"/>
      <c r="X3" s="14"/>
      <c r="Y3" s="14"/>
      <c r="Z3" s="14"/>
      <c r="AA3" s="14"/>
      <c r="AB3" s="14"/>
      <c r="AC3" s="15"/>
      <c r="AD3" s="14"/>
      <c r="AE3" s="14"/>
      <c r="AF3" s="14"/>
      <c r="AG3" s="16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x14ac:dyDescent="0.25">
      <c r="A4" s="41"/>
      <c r="B4" s="41"/>
      <c r="C4" s="41"/>
      <c r="D4" s="41"/>
      <c r="E4" s="41"/>
      <c r="F4" s="41"/>
      <c r="G4" s="41">
        <v>60</v>
      </c>
      <c r="H4" s="41">
        <v>49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17"/>
      <c r="U4" s="18"/>
      <c r="V4" s="19"/>
      <c r="W4" s="20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x14ac:dyDescent="0.25">
      <c r="A5" s="44" t="s">
        <v>194</v>
      </c>
      <c r="B5" s="44"/>
      <c r="C5" s="44"/>
      <c r="D5" s="42" t="s">
        <v>196</v>
      </c>
      <c r="E5" s="41"/>
      <c r="F5" s="41"/>
      <c r="G5" s="41">
        <v>90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17"/>
      <c r="U5" s="18"/>
      <c r="V5" s="19"/>
      <c r="W5" s="20"/>
      <c r="X5" s="18"/>
      <c r="Y5" s="17"/>
      <c r="Z5" s="17"/>
      <c r="AA5" s="17"/>
      <c r="AB5" s="17"/>
      <c r="AC5" s="17"/>
      <c r="AD5" s="17"/>
      <c r="AE5" s="17"/>
      <c r="AF5" s="17"/>
      <c r="AG5" s="17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x14ac:dyDescent="0.25">
      <c r="A6" s="44"/>
      <c r="B6" s="45" t="s">
        <v>15</v>
      </c>
      <c r="C6" s="44"/>
      <c r="D6" s="43">
        <v>1</v>
      </c>
      <c r="E6" s="41"/>
      <c r="F6" s="41"/>
      <c r="G6" s="41">
        <v>150</v>
      </c>
      <c r="H6" s="41"/>
      <c r="I6" s="41"/>
      <c r="J6" s="41"/>
      <c r="K6" s="41"/>
      <c r="L6" s="41"/>
      <c r="M6" s="41"/>
      <c r="N6" s="46" t="s">
        <v>192</v>
      </c>
      <c r="O6" s="46"/>
      <c r="P6" s="41"/>
      <c r="Q6" s="41"/>
      <c r="R6" s="41"/>
      <c r="S6" s="41"/>
      <c r="T6" s="17"/>
      <c r="U6" s="18"/>
      <c r="V6" s="19"/>
      <c r="W6" s="20"/>
      <c r="X6" s="18"/>
      <c r="Y6" s="17"/>
      <c r="Z6" s="17"/>
      <c r="AA6" s="17"/>
      <c r="AB6" s="17"/>
      <c r="AC6" s="17"/>
      <c r="AD6" s="17"/>
      <c r="AE6" s="17"/>
      <c r="AF6" s="17"/>
      <c r="AG6" s="17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ht="20.25" x14ac:dyDescent="0.3">
      <c r="A7" s="44"/>
      <c r="B7" s="45" t="s">
        <v>26</v>
      </c>
      <c r="C7" s="44"/>
      <c r="D7" s="42" t="s">
        <v>195</v>
      </c>
      <c r="E7" s="41"/>
      <c r="F7" s="41"/>
      <c r="G7" s="41"/>
      <c r="H7" s="41"/>
      <c r="I7" s="41"/>
      <c r="J7" s="41"/>
      <c r="K7" s="41"/>
      <c r="L7" s="41"/>
      <c r="M7" s="41"/>
      <c r="N7" s="40">
        <v>10</v>
      </c>
      <c r="O7" s="46" t="s">
        <v>162</v>
      </c>
      <c r="P7" s="41"/>
      <c r="Q7" s="41"/>
      <c r="R7" s="41"/>
      <c r="S7" s="41"/>
      <c r="T7" s="17"/>
      <c r="U7" s="21" t="s">
        <v>216</v>
      </c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17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x14ac:dyDescent="0.25">
      <c r="A8" s="44"/>
      <c r="B8" s="45" t="s">
        <v>48</v>
      </c>
      <c r="C8" s="44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 t="s">
        <v>208</v>
      </c>
      <c r="S8" s="41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0" x14ac:dyDescent="0.25">
      <c r="A9" s="41"/>
      <c r="B9" s="41"/>
      <c r="C9" s="41"/>
      <c r="D9" s="41"/>
      <c r="E9" s="41"/>
      <c r="F9" s="42" t="s">
        <v>208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 t="s">
        <v>207</v>
      </c>
      <c r="S9" s="41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0" x14ac:dyDescent="0.25">
      <c r="A10" s="41"/>
      <c r="B10" s="41"/>
      <c r="C10" s="41"/>
      <c r="D10" s="41"/>
      <c r="E10" s="41"/>
      <c r="F10" s="42" t="s">
        <v>206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1</v>
      </c>
      <c r="S10" s="41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 x14ac:dyDescent="0.25">
      <c r="A11" s="41"/>
      <c r="B11" s="47" t="s">
        <v>211</v>
      </c>
      <c r="C11" s="41"/>
      <c r="D11" s="41"/>
      <c r="E11" s="41"/>
      <c r="F11" s="41" t="s">
        <v>259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2</v>
      </c>
      <c r="S11" s="41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23"/>
      <c r="AG11" s="17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 ht="18" customHeight="1" x14ac:dyDescent="0.25">
      <c r="A12" s="41"/>
      <c r="B12" s="43">
        <v>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>
        <v>3</v>
      </c>
      <c r="S12" s="41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ht="18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x14ac:dyDescent="0.25">
      <c r="A14" s="44" t="s">
        <v>204</v>
      </c>
      <c r="B14" s="44"/>
      <c r="C14" s="44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x14ac:dyDescent="0.25">
      <c r="A15" s="44"/>
      <c r="B15" s="48" t="s">
        <v>213</v>
      </c>
      <c r="C15" s="44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 t="s">
        <v>177</v>
      </c>
      <c r="Q15" s="41" t="s">
        <v>190</v>
      </c>
      <c r="R15" s="41"/>
      <c r="S15" s="41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x14ac:dyDescent="0.25">
      <c r="A16" s="44"/>
      <c r="B16" s="48" t="s">
        <v>214</v>
      </c>
      <c r="C16" s="44"/>
      <c r="D16" s="43">
        <v>1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 t="b">
        <v>0</v>
      </c>
      <c r="Q16" s="46"/>
      <c r="R16" s="41"/>
      <c r="S16" s="41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 t="str">
        <f>IF(UsedStroke&gt;Stroke,"Too long Stroke"," ")</f>
        <v xml:space="preserve"> </v>
      </c>
      <c r="AG16" s="17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 t="s">
        <v>209</v>
      </c>
      <c r="Q17" s="41"/>
      <c r="R17" s="41"/>
      <c r="S17" s="41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 x14ac:dyDescent="0.25">
      <c r="A18" s="42" t="s">
        <v>176</v>
      </c>
      <c r="B18" s="43" t="str">
        <f>INDEX(B15:B16,D16)</f>
        <v>Power Unit (HCP)</v>
      </c>
      <c r="C18" s="42"/>
      <c r="D18" s="42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 t="s">
        <v>210</v>
      </c>
      <c r="Q18" s="41"/>
      <c r="R18" s="41"/>
      <c r="S18" s="41"/>
      <c r="T18" s="17"/>
      <c r="U18" s="17" t="str">
        <f>CONCATENATE("Selected ",Product_Type)</f>
        <v>Selected Compact Cam</v>
      </c>
      <c r="V18" s="17"/>
      <c r="W18" s="24" t="str">
        <f>CamDescription</f>
        <v>CC 015-010</v>
      </c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9" t="s">
        <v>180</v>
      </c>
      <c r="O19" s="41"/>
      <c r="P19" s="41"/>
      <c r="Q19" s="41"/>
      <c r="R19" s="41"/>
      <c r="S19" s="41"/>
      <c r="T19" s="17"/>
      <c r="U19" s="17" t="s">
        <v>217</v>
      </c>
      <c r="V19" s="17"/>
      <c r="W19" s="24" t="str">
        <f>CONCATENATE(CamMaxForce," kN")</f>
        <v>15 kN</v>
      </c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7"/>
      <c r="M20" s="41"/>
      <c r="N20" s="50">
        <v>1</v>
      </c>
      <c r="O20" s="41"/>
      <c r="P20" s="41"/>
      <c r="Q20" s="41"/>
      <c r="R20" s="41"/>
      <c r="S20" s="41"/>
      <c r="T20" s="17"/>
      <c r="U20" s="17" t="str">
        <f>CONCATENATE(Product_Type," Oil Port")</f>
        <v>Compact Cam Oil Port</v>
      </c>
      <c r="V20" s="17"/>
      <c r="W20" s="17" t="str">
        <f>CamOilPort</f>
        <v>G 1/2"</v>
      </c>
      <c r="X20" s="17"/>
      <c r="Y20" s="17" t="s">
        <v>247</v>
      </c>
      <c r="Z20" s="17"/>
      <c r="AA20" s="17"/>
      <c r="AB20" s="25" t="str">
        <f>CONCATENATE(ROUND(OilVolumeUsed,2)," L")</f>
        <v>0,01 L</v>
      </c>
      <c r="AC20" s="2"/>
      <c r="AD20" s="17"/>
      <c r="AE20" s="17"/>
      <c r="AF20" s="17"/>
      <c r="AG20" s="17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17"/>
      <c r="U21" s="17"/>
      <c r="V21" s="17"/>
      <c r="W21" s="25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 x14ac:dyDescent="0.25">
      <c r="A22" s="51" t="s">
        <v>205</v>
      </c>
      <c r="B22" s="51"/>
      <c r="C22" s="51"/>
      <c r="D22" s="5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26"/>
      <c r="AE23" s="17"/>
      <c r="AF23" s="17"/>
      <c r="AG23" s="17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 x14ac:dyDescent="0.25">
      <c r="A24" s="46"/>
      <c r="B24" s="46"/>
      <c r="C24" s="41" t="s">
        <v>0</v>
      </c>
      <c r="D24" s="41" t="s">
        <v>2</v>
      </c>
      <c r="E24" s="41" t="s">
        <v>1</v>
      </c>
      <c r="F24" s="41" t="s">
        <v>3</v>
      </c>
      <c r="G24" s="41" t="s">
        <v>4</v>
      </c>
      <c r="H24" s="41" t="s">
        <v>5</v>
      </c>
      <c r="I24" s="41" t="s">
        <v>6</v>
      </c>
      <c r="J24" s="41" t="s">
        <v>7</v>
      </c>
      <c r="K24" s="41" t="s">
        <v>8</v>
      </c>
      <c r="L24" s="41" t="s">
        <v>9</v>
      </c>
      <c r="M24" s="41" t="s">
        <v>10</v>
      </c>
      <c r="N24" s="41" t="s">
        <v>11</v>
      </c>
      <c r="O24" s="41" t="s">
        <v>12</v>
      </c>
      <c r="P24" s="41" t="s">
        <v>13</v>
      </c>
      <c r="Q24" s="41" t="s">
        <v>182</v>
      </c>
      <c r="R24" s="41" t="s">
        <v>184</v>
      </c>
      <c r="S24" s="41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 x14ac:dyDescent="0.25">
      <c r="A25" s="51" t="s">
        <v>15</v>
      </c>
      <c r="B25" s="51" t="s">
        <v>16</v>
      </c>
      <c r="C25" s="51">
        <v>15</v>
      </c>
      <c r="D25" s="51">
        <v>10</v>
      </c>
      <c r="E25" s="51">
        <v>2</v>
      </c>
      <c r="F25" s="51">
        <v>60</v>
      </c>
      <c r="G25" s="51">
        <v>125</v>
      </c>
      <c r="H25" s="51">
        <v>180</v>
      </c>
      <c r="I25" s="51" t="s">
        <v>250</v>
      </c>
      <c r="J25" s="51"/>
      <c r="K25" s="51"/>
      <c r="L25" s="51"/>
      <c r="M25" s="51"/>
      <c r="N25" s="51"/>
      <c r="O25" s="51">
        <v>0.13</v>
      </c>
      <c r="P25" s="51" t="s">
        <v>17</v>
      </c>
      <c r="Q25" s="51">
        <v>180</v>
      </c>
      <c r="R25" s="51" t="s">
        <v>185</v>
      </c>
      <c r="S25" s="41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26"/>
      <c r="AE25" s="17"/>
      <c r="AF25" s="17"/>
      <c r="AG25" s="17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 x14ac:dyDescent="0.25">
      <c r="A26" s="41" t="str">
        <f>LEFT(A25,FIND("(",A25)-2)</f>
        <v>Compact Cam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17"/>
      <c r="U26" s="17" t="str">
        <f>IFERROR(VLOOKUP(3,$M$53:$O$56,3,FALSE),"")</f>
        <v/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17"/>
      <c r="U27" s="17"/>
      <c r="V27" s="17"/>
      <c r="W27" s="17"/>
      <c r="X27" s="17"/>
      <c r="Y27" s="17"/>
      <c r="Z27" s="17"/>
      <c r="AA27" s="17"/>
      <c r="AB27" s="17"/>
      <c r="AC27" s="27"/>
      <c r="AD27" s="27"/>
      <c r="AE27" s="27"/>
      <c r="AF27" s="17"/>
      <c r="AG27" s="17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 x14ac:dyDescent="0.25">
      <c r="A28" s="41"/>
      <c r="B28" s="41"/>
      <c r="C28" s="41"/>
      <c r="D28" s="41">
        <v>3.2500000000000001E-2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 ht="20.25" x14ac:dyDescent="0.3">
      <c r="A29" s="41" t="s">
        <v>224</v>
      </c>
      <c r="B29" s="41"/>
      <c r="C29" s="41"/>
      <c r="D29" s="41">
        <v>6.5000000000000002E-2</v>
      </c>
      <c r="E29" s="41"/>
      <c r="F29" s="41"/>
      <c r="G29" s="41"/>
      <c r="H29" s="41"/>
      <c r="I29" s="41"/>
      <c r="J29" s="41"/>
      <c r="K29" s="41"/>
      <c r="L29" s="41"/>
      <c r="M29" s="41" t="s">
        <v>191</v>
      </c>
      <c r="N29" s="41"/>
      <c r="O29" s="41"/>
      <c r="P29" s="41"/>
      <c r="Q29" s="41"/>
      <c r="R29" s="41"/>
      <c r="S29" s="41"/>
      <c r="T29" s="17"/>
      <c r="U29" s="21" t="s">
        <v>173</v>
      </c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7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>
        <v>1.3000000268220901E-2</v>
      </c>
      <c r="N30" s="41"/>
      <c r="O30" s="41"/>
      <c r="P30" s="41"/>
      <c r="Q30" s="41"/>
      <c r="R30" s="41"/>
      <c r="S30" s="41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2"/>
      <c r="AI30" s="12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:50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 t="s">
        <v>189</v>
      </c>
      <c r="N31" s="41"/>
      <c r="O31" s="52"/>
      <c r="P31" s="41"/>
      <c r="Q31" s="41"/>
      <c r="R31" s="41"/>
      <c r="S31" s="41"/>
      <c r="T31" s="17"/>
      <c r="U31" s="17" t="s">
        <v>218</v>
      </c>
      <c r="V31" s="17"/>
      <c r="W31" s="39">
        <v>0.8</v>
      </c>
      <c r="X31" s="17" t="s">
        <v>159</v>
      </c>
      <c r="Y31" s="18" t="s">
        <v>258</v>
      </c>
      <c r="Z31" s="17"/>
      <c r="AA31" s="17"/>
      <c r="AB31" s="17"/>
      <c r="AC31" s="17"/>
      <c r="AD31" s="17"/>
      <c r="AE31" s="17"/>
      <c r="AF31" s="17"/>
      <c r="AG31" s="17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:50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43">
        <v>10</v>
      </c>
      <c r="N32" s="53"/>
      <c r="O32" s="53"/>
      <c r="P32" s="41"/>
      <c r="Q32" s="41"/>
      <c r="R32" s="41"/>
      <c r="S32" s="41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1:50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4" t="s">
        <v>203</v>
      </c>
      <c r="N33" s="54"/>
      <c r="O33" s="53"/>
      <c r="P33" s="41"/>
      <c r="Q33" s="41"/>
      <c r="R33" s="41"/>
      <c r="S33" s="41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:5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17"/>
      <c r="U34" s="17"/>
      <c r="V34" s="17"/>
      <c r="W34" s="17"/>
      <c r="X34" s="17"/>
      <c r="Y34" s="17"/>
      <c r="Z34" s="17"/>
      <c r="AA34" s="17"/>
      <c r="AB34" s="28"/>
      <c r="AC34" s="17"/>
      <c r="AD34" s="17"/>
      <c r="AE34" s="17"/>
      <c r="AF34" s="17"/>
      <c r="AG34" s="17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1:50" x14ac:dyDescent="0.25">
      <c r="A35" s="41">
        <v>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9"/>
      <c r="AF35" s="17"/>
      <c r="AG35" s="17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1:50" x14ac:dyDescent="0.25">
      <c r="A36" s="41"/>
      <c r="B36" s="41"/>
      <c r="C36" s="55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1:50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1:50" x14ac:dyDescent="0.25">
      <c r="A38" s="41" t="s">
        <v>161</v>
      </c>
      <c r="B38" s="41" t="s">
        <v>13</v>
      </c>
      <c r="C38" s="41" t="s">
        <v>14</v>
      </c>
      <c r="D38" s="41" t="s">
        <v>112</v>
      </c>
      <c r="E38" s="41" t="s">
        <v>2</v>
      </c>
      <c r="F38" s="41" t="s">
        <v>3</v>
      </c>
      <c r="G38" s="41" t="s">
        <v>4</v>
      </c>
      <c r="H38" s="41" t="s">
        <v>5</v>
      </c>
      <c r="I38" s="41">
        <v>0.8</v>
      </c>
      <c r="J38" s="41">
        <v>0.6</v>
      </c>
      <c r="K38" s="41">
        <v>0.4</v>
      </c>
      <c r="L38" s="41">
        <v>0.2</v>
      </c>
      <c r="M38" s="41" t="s">
        <v>113</v>
      </c>
      <c r="N38" s="41" t="s">
        <v>12</v>
      </c>
      <c r="O38" s="41" t="s">
        <v>183</v>
      </c>
      <c r="P38" s="41" t="s">
        <v>184</v>
      </c>
      <c r="Q38" s="41"/>
      <c r="R38" s="41"/>
      <c r="S38" s="41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1:50" x14ac:dyDescent="0.25">
      <c r="A39" s="56"/>
      <c r="B39" s="53"/>
      <c r="C39" s="53"/>
      <c r="D39" s="53"/>
      <c r="E39" s="53"/>
      <c r="F39" s="53"/>
      <c r="G39" s="53"/>
      <c r="H39" s="41"/>
      <c r="I39" s="53"/>
      <c r="J39" s="53"/>
      <c r="K39" s="53"/>
      <c r="L39" s="53"/>
      <c r="M39" s="53"/>
      <c r="N39" s="53"/>
      <c r="O39" s="57"/>
      <c r="P39" s="41"/>
      <c r="Q39" s="41"/>
      <c r="R39" s="41"/>
      <c r="S39" s="41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1:50" x14ac:dyDescent="0.25">
      <c r="A40" s="67">
        <v>3.2500000000000001E-2</v>
      </c>
      <c r="B40" s="58" t="s">
        <v>114</v>
      </c>
      <c r="C40" s="58" t="s">
        <v>213</v>
      </c>
      <c r="D40" s="58">
        <v>15</v>
      </c>
      <c r="E40" s="58">
        <v>35</v>
      </c>
      <c r="F40" s="58">
        <v>60</v>
      </c>
      <c r="G40" s="58">
        <v>50</v>
      </c>
      <c r="H40" s="58">
        <v>180</v>
      </c>
      <c r="I40" s="58" t="s">
        <v>115</v>
      </c>
      <c r="J40" s="58" t="s">
        <v>116</v>
      </c>
      <c r="K40" s="58" t="s">
        <v>116</v>
      </c>
      <c r="L40" s="58" t="s">
        <v>116</v>
      </c>
      <c r="M40" s="58">
        <v>1</v>
      </c>
      <c r="N40" s="58">
        <v>0.13</v>
      </c>
      <c r="O40" s="58">
        <v>150</v>
      </c>
      <c r="P40" s="58" t="s">
        <v>185</v>
      </c>
      <c r="Q40" s="41"/>
      <c r="R40" s="41"/>
      <c r="S40" s="41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1:50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57"/>
      <c r="R41" s="41"/>
      <c r="S41" s="41"/>
      <c r="T41" s="17"/>
      <c r="U41" s="17" t="s">
        <v>212</v>
      </c>
      <c r="V41" s="17"/>
      <c r="W41" s="17" t="str">
        <f>HCPDescription</f>
        <v>HCP 015-035</v>
      </c>
      <c r="X41" s="17"/>
      <c r="Y41" s="17"/>
      <c r="Z41" s="17"/>
      <c r="AA41" s="17"/>
      <c r="AB41" s="2"/>
      <c r="AC41" s="2"/>
      <c r="AD41" s="2"/>
      <c r="AE41" s="2"/>
      <c r="AF41" s="17"/>
      <c r="AG41" s="17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1:50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57"/>
      <c r="R42" s="41"/>
      <c r="S42" s="41"/>
      <c r="T42" s="17"/>
      <c r="U42" s="30" t="s">
        <v>220</v>
      </c>
      <c r="V42" s="27"/>
      <c r="W42" s="31" t="str">
        <f>CONCATENATE(HCPStroke," mm")</f>
        <v>20 mm</v>
      </c>
      <c r="X42" s="17"/>
      <c r="Y42" s="27" t="s">
        <v>174</v>
      </c>
      <c r="Z42" s="27"/>
      <c r="AA42" s="2"/>
      <c r="AB42" s="2"/>
      <c r="AC42" s="2"/>
      <c r="AD42" s="2"/>
      <c r="AE42" s="2"/>
      <c r="AF42" s="17"/>
      <c r="AG42" s="17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1:50" x14ac:dyDescent="0.25">
      <c r="A43" s="41"/>
      <c r="B43" s="41"/>
      <c r="C43" s="69"/>
      <c r="D43" s="41"/>
      <c r="E43" s="41"/>
      <c r="F43" s="68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57"/>
      <c r="S43" s="41"/>
      <c r="T43" s="17"/>
      <c r="U43" s="17" t="s">
        <v>254</v>
      </c>
      <c r="V43" s="17"/>
      <c r="W43" s="7">
        <f>SPMLimit</f>
        <v>60</v>
      </c>
      <c r="X43" s="17"/>
      <c r="Y43" s="17"/>
      <c r="Z43" s="17"/>
      <c r="AA43" s="2"/>
      <c r="AB43" s="2"/>
      <c r="AC43" s="2"/>
      <c r="AD43" s="2"/>
      <c r="AE43" s="2"/>
      <c r="AF43" s="17"/>
      <c r="AG43" s="17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1:50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 t="s">
        <v>175</v>
      </c>
      <c r="N44" s="41" t="s">
        <v>178</v>
      </c>
      <c r="O44" s="41" t="s">
        <v>179</v>
      </c>
      <c r="P44" s="41"/>
      <c r="Q44" s="57"/>
      <c r="R44" s="41"/>
      <c r="S44" s="41"/>
      <c r="T44" s="17"/>
      <c r="U44" s="17" t="s">
        <v>184</v>
      </c>
      <c r="V44" s="17"/>
      <c r="W44" s="24" t="str">
        <f>HCPOilPort</f>
        <v>G 1/2"</v>
      </c>
      <c r="X44" s="17"/>
      <c r="Y44" s="17" t="s">
        <v>257</v>
      </c>
      <c r="Z44" s="2"/>
      <c r="AA44" s="17"/>
      <c r="AB44" s="17" t="str">
        <f>CONCATENATE(ROUND(OilVolumeUsed,2)," L")</f>
        <v>0,01 L</v>
      </c>
      <c r="AC44" s="2"/>
      <c r="AD44" s="17"/>
      <c r="AE44" s="17"/>
      <c r="AF44" s="17"/>
      <c r="AG44" s="17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1:50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59"/>
      <c r="N45" s="57"/>
      <c r="O45" s="41"/>
      <c r="P45" s="41"/>
      <c r="Q45" s="57" t="s">
        <v>255</v>
      </c>
      <c r="R45" s="41"/>
      <c r="S45" s="41"/>
      <c r="T45" s="17"/>
      <c r="U45" s="17" t="s">
        <v>215</v>
      </c>
      <c r="V45" s="17"/>
      <c r="W45" s="32" t="str">
        <f>HCPHoseDimension</f>
        <v>1/2"</v>
      </c>
      <c r="X45" s="17"/>
      <c r="Y45" s="17" t="s">
        <v>256</v>
      </c>
      <c r="Z45" s="17"/>
      <c r="AA45" s="17"/>
      <c r="AB45" s="17" t="str">
        <f>CONCATENATE(ROUND(Usable_Oil_Volume,2)," L")</f>
        <v>0,03 L</v>
      </c>
      <c r="AC45" s="2"/>
      <c r="AD45" s="17"/>
      <c r="AE45" s="17"/>
      <c r="AF45" s="17"/>
      <c r="AG45" s="17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1:50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60">
        <v>1</v>
      </c>
      <c r="N46" s="61">
        <f>ROUND((NewStroke/SpeedRatio)+10,0)</f>
        <v>20</v>
      </c>
      <c r="O46" s="49">
        <f>UserHCPSpeed*SpeedRatio</f>
        <v>0.8</v>
      </c>
      <c r="P46" s="41"/>
      <c r="Q46" s="61">
        <v>60</v>
      </c>
      <c r="R46" s="41"/>
      <c r="S46" s="41"/>
      <c r="T46" s="17"/>
      <c r="U46" s="17"/>
      <c r="V46" s="17"/>
      <c r="W46" s="32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1:50" x14ac:dyDescent="0.25">
      <c r="A47" s="41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62"/>
      <c r="Q47" s="57"/>
      <c r="R47" s="41"/>
      <c r="S47" s="41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1:50" ht="20.25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 t="s">
        <v>244</v>
      </c>
      <c r="L48" s="41"/>
      <c r="M48" s="41"/>
      <c r="N48" s="41"/>
      <c r="O48" s="41"/>
      <c r="P48" s="41"/>
      <c r="Q48" s="41"/>
      <c r="R48" s="41"/>
      <c r="S48" s="41"/>
      <c r="T48" s="17"/>
      <c r="U48" s="21" t="s">
        <v>221</v>
      </c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7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1:50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6"/>
      <c r="L49" s="46"/>
      <c r="M49" s="63"/>
      <c r="N49" s="46"/>
      <c r="O49" s="46"/>
      <c r="P49" s="46"/>
      <c r="Q49" s="46"/>
      <c r="R49" s="46"/>
      <c r="S49" s="41"/>
      <c r="T49" s="17"/>
      <c r="U49" s="26"/>
      <c r="V49" s="17"/>
      <c r="W49" s="17"/>
      <c r="X49" s="17"/>
      <c r="Y49" s="17"/>
      <c r="Z49" s="17"/>
      <c r="AA49" s="26"/>
      <c r="AB49" s="17"/>
      <c r="AC49" s="17"/>
      <c r="AD49" s="17"/>
      <c r="AE49" s="17"/>
      <c r="AF49" s="17"/>
      <c r="AG49" s="17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1:50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64"/>
      <c r="L50" s="46"/>
      <c r="M50" s="46"/>
      <c r="N50" s="46"/>
      <c r="O50" s="46"/>
      <c r="P50" s="46"/>
      <c r="Q50" s="46"/>
      <c r="R50" s="46"/>
      <c r="S50" s="41"/>
      <c r="T50" s="17"/>
      <c r="U50" s="17"/>
      <c r="V50" s="17"/>
      <c r="W50" s="17"/>
      <c r="X50" s="26" t="s">
        <v>234</v>
      </c>
      <c r="Y50" s="17"/>
      <c r="Z50" s="33" t="str">
        <f>Product_Type</f>
        <v>Compact Cam</v>
      </c>
      <c r="AA50" s="17"/>
      <c r="AB50" s="17"/>
      <c r="AC50" s="17"/>
      <c r="AD50" s="26" t="s">
        <v>222</v>
      </c>
      <c r="AE50" s="17"/>
      <c r="AF50" s="17"/>
      <c r="AG50" s="17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1:50" x14ac:dyDescent="0.25">
      <c r="A51" s="46"/>
      <c r="B51" s="46"/>
      <c r="C51" s="46"/>
      <c r="D51" s="41"/>
      <c r="E51" s="41"/>
      <c r="F51" s="41"/>
      <c r="G51" s="41"/>
      <c r="H51" s="41"/>
      <c r="I51" s="41"/>
      <c r="J51" s="41"/>
      <c r="K51" s="46"/>
      <c r="L51" s="46"/>
      <c r="M51" s="46"/>
      <c r="N51" s="46"/>
      <c r="O51" s="46"/>
      <c r="P51" s="46"/>
      <c r="Q51" s="46"/>
      <c r="R51" s="46"/>
      <c r="S51" s="41"/>
      <c r="T51" s="17"/>
      <c r="U51" s="26" t="s">
        <v>168</v>
      </c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1:50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6"/>
      <c r="L52" s="46"/>
      <c r="M52" s="65"/>
      <c r="N52" s="46"/>
      <c r="O52" s="64"/>
      <c r="P52" s="46"/>
      <c r="Q52" s="64"/>
      <c r="R52" s="46"/>
      <c r="S52" s="41"/>
      <c r="T52" s="17"/>
      <c r="U52" s="17" t="s">
        <v>253</v>
      </c>
      <c r="V52" s="17"/>
      <c r="W52" s="17"/>
      <c r="X52" s="40">
        <v>150</v>
      </c>
      <c r="Y52" s="17" t="s">
        <v>166</v>
      </c>
      <c r="Z52" s="17" t="s">
        <v>217</v>
      </c>
      <c r="AA52" s="17"/>
      <c r="AB52" s="17" t="str">
        <f>CONCATENATE(ROUND(UserCamForce,1)," kN")</f>
        <v>17,5 kN</v>
      </c>
      <c r="AC52" s="17"/>
      <c r="AD52" s="17" t="s">
        <v>233</v>
      </c>
      <c r="AE52" s="17"/>
      <c r="AF52" s="17" t="str">
        <f>CONCATENATE(ROUND(Activating_Force,1)," kN")</f>
        <v>19,5 kN</v>
      </c>
      <c r="AG52" s="17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1:50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 t="s">
        <v>246</v>
      </c>
      <c r="L53" s="41" t="str">
        <f>ScrewMount</f>
        <v>No Order No.</v>
      </c>
      <c r="M53" s="41">
        <f>_xlfn.RANK.EQ(1,N53:N56,1)</f>
        <v>1</v>
      </c>
      <c r="N53" s="41">
        <f>IF(O53&lt;&gt;"",1,"")</f>
        <v>1</v>
      </c>
      <c r="O53" s="46" t="str">
        <f>IF(L53&lt;&gt;0,K53,"")</f>
        <v>Integrated Base Mount</v>
      </c>
      <c r="P53" s="41"/>
      <c r="Q53" s="41"/>
      <c r="R53" s="46"/>
      <c r="S53" s="41"/>
      <c r="T53" s="17"/>
      <c r="U53" s="29" t="str">
        <f>CONCATENATE("Max ",HCPMaxGasPressure," bar , Min ",HCPMinGasPressure," bar")</f>
        <v>Max 180 bar , Min 50 bar</v>
      </c>
      <c r="V53" s="29"/>
      <c r="W53" s="29"/>
      <c r="X53" s="23" t="str">
        <f>IF(OR(HCPAccumulatorPressure&gt;HCPMaxGasPressure,HCPAccumulatorPressure&lt;HCPMinGasPressure)=TRUE,"Pressure out of range!"," ")</f>
        <v xml:space="preserve"> </v>
      </c>
      <c r="Y53" s="17"/>
      <c r="Z53" s="34"/>
      <c r="AA53" s="17"/>
      <c r="AB53" s="17"/>
      <c r="AC53" s="17"/>
      <c r="AD53" s="17"/>
      <c r="AE53" s="17"/>
      <c r="AF53" s="17"/>
      <c r="AG53" s="17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1:50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 t="s">
        <v>7</v>
      </c>
      <c r="L54" s="41">
        <f>FlangeMount</f>
        <v>0</v>
      </c>
      <c r="M54" s="41" t="e">
        <f>_xlfn.RANK.EQ(2,N53:N56,1)</f>
        <v>#N/A</v>
      </c>
      <c r="N54" s="41" t="str">
        <f>IF(O54&lt;&gt;"",2,"")</f>
        <v/>
      </c>
      <c r="O54" s="46" t="str">
        <f>IF(L54&lt;&gt;0,K54,"")</f>
        <v/>
      </c>
      <c r="P54" s="41"/>
      <c r="Q54" s="41"/>
      <c r="R54" s="46"/>
      <c r="S54" s="41"/>
      <c r="T54" s="17"/>
      <c r="U54" s="17"/>
      <c r="V54" s="17"/>
      <c r="W54" s="17"/>
      <c r="X54" s="17"/>
      <c r="Y54" s="17"/>
      <c r="Z54" s="27"/>
      <c r="AA54" s="17"/>
      <c r="AB54" s="17"/>
      <c r="AC54" s="17"/>
      <c r="AD54" s="17"/>
      <c r="AE54" s="17"/>
      <c r="AF54" s="17"/>
      <c r="AG54" s="17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1:50" x14ac:dyDescent="0.25">
      <c r="A55" s="41"/>
      <c r="B55" s="41" t="s">
        <v>163</v>
      </c>
      <c r="C55" s="41"/>
      <c r="D55" s="41"/>
      <c r="E55" s="41"/>
      <c r="F55" s="41"/>
      <c r="G55" s="41"/>
      <c r="H55" s="41"/>
      <c r="I55" s="41"/>
      <c r="J55" s="41"/>
      <c r="K55" s="41" t="s">
        <v>8</v>
      </c>
      <c r="L55" s="41">
        <f>FootMount</f>
        <v>0</v>
      </c>
      <c r="M55" s="41" t="e">
        <f>_xlfn.RANK.EQ(3,N53:N56,1)</f>
        <v>#N/A</v>
      </c>
      <c r="N55" s="41" t="str">
        <f>IF(O55&lt;&gt;"",3,"")</f>
        <v/>
      </c>
      <c r="O55" s="46" t="str">
        <f>IF(L55&lt;&gt;0,K55,"")</f>
        <v/>
      </c>
      <c r="P55" s="41"/>
      <c r="Q55" s="41"/>
      <c r="R55" s="47"/>
      <c r="S55" s="41"/>
      <c r="T55" s="17"/>
      <c r="U55" s="17" t="str">
        <f>CONCATENATE(Product_Type," gas charge pressure")</f>
        <v>Compact Cam gas charge pressure</v>
      </c>
      <c r="V55" s="17"/>
      <c r="W55" s="17"/>
      <c r="X55" s="40">
        <v>180</v>
      </c>
      <c r="Y55" s="17" t="s">
        <v>166</v>
      </c>
      <c r="Z55" s="17" t="s">
        <v>167</v>
      </c>
      <c r="AA55" s="17"/>
      <c r="AB55" s="17" t="str">
        <f>CONCATENATE(ROUND(UserReturnForce,1)," kN")</f>
        <v>2 kN</v>
      </c>
      <c r="AC55" s="17"/>
      <c r="AD55" s="17"/>
      <c r="AE55" s="17"/>
      <c r="AF55" s="17"/>
      <c r="AG55" s="17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1:50" x14ac:dyDescent="0.25">
      <c r="A56" s="41"/>
      <c r="B56" s="41" t="s">
        <v>164</v>
      </c>
      <c r="C56" s="41" t="str">
        <f>IF(UserHCPSpeed&gt;0.8,"Too High Speed",IF(UserHCPSpeed&gt;0.6,HCP0_8Hose,IF(UserHCPSpeed&gt;0.4,HCP0_6Hose,IF(UserHCPSpeed&gt;0.2,HCP0_4Hose,HCP0_2Hose))))</f>
        <v>1/2"</v>
      </c>
      <c r="D56" s="41"/>
      <c r="E56" s="41"/>
      <c r="F56" s="41"/>
      <c r="G56" s="41"/>
      <c r="H56" s="41"/>
      <c r="I56" s="41"/>
      <c r="J56" s="41"/>
      <c r="K56" s="41" t="s">
        <v>9</v>
      </c>
      <c r="L56" s="41">
        <f>TopMount</f>
        <v>0</v>
      </c>
      <c r="M56" s="41" t="e">
        <f>_xlfn.RANK.EQ(4,N53:N56,1)</f>
        <v>#N/A</v>
      </c>
      <c r="N56" s="41" t="str">
        <f>IF(O56&lt;&gt;"",4,"")</f>
        <v/>
      </c>
      <c r="O56" s="46" t="str">
        <f>IF(L56&lt;&gt;0,K56,"")</f>
        <v/>
      </c>
      <c r="P56" s="41"/>
      <c r="Q56" s="41"/>
      <c r="R56" s="47"/>
      <c r="S56" s="41"/>
      <c r="T56" s="17"/>
      <c r="U56" s="29" t="str">
        <f>CONCATENATE("Max ",CamMaxGasPressure," bar , Min ",CamMinGasPressure," bar")</f>
        <v>Max 180 bar , Min 125 bar</v>
      </c>
      <c r="V56" s="29"/>
      <c r="W56" s="29"/>
      <c r="X56" s="23" t="str">
        <f>IF(OR(CamGasFillingPressure&gt;CamMaxGasPressure,CamGasFillingPressure&lt;CamMinGasPressure)=TRUE,"Pressure out of range!"," ")</f>
        <v xml:space="preserve"> </v>
      </c>
      <c r="Y56" s="17"/>
      <c r="Z56" s="34"/>
      <c r="AA56" s="17"/>
      <c r="AB56" s="17"/>
      <c r="AC56" s="17"/>
      <c r="AD56" s="17"/>
      <c r="AE56" s="17"/>
      <c r="AF56" s="17"/>
      <c r="AG56" s="17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1:50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17"/>
      <c r="U57" s="17"/>
      <c r="V57" s="17"/>
      <c r="W57" s="17"/>
      <c r="X57" s="17"/>
      <c r="Y57" s="17"/>
      <c r="Z57" s="27"/>
      <c r="AA57" s="17"/>
      <c r="AB57" s="17"/>
      <c r="AC57" s="17"/>
      <c r="AD57" s="17"/>
      <c r="AE57" s="17"/>
      <c r="AF57" s="17"/>
      <c r="AG57" s="17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1:50" x14ac:dyDescent="0.25">
      <c r="A58" s="41"/>
      <c r="B58" s="41" t="s">
        <v>165</v>
      </c>
      <c r="C58" s="41" t="str">
        <f>IF(CamSpeed&gt;0.8,"Too High Speed",IF(CamSpeed&gt;0.6,B70,IF(CamSpeed&gt;0.4,C70,IF(CamSpeed&gt;0.2,D70,E70))))</f>
        <v>1/2"</v>
      </c>
      <c r="D58" s="41"/>
      <c r="E58" s="41"/>
      <c r="F58" s="41"/>
      <c r="G58" s="41"/>
      <c r="H58" s="41"/>
      <c r="I58" s="41"/>
      <c r="J58" s="41"/>
      <c r="K58" s="41"/>
      <c r="L58" s="41"/>
      <c r="M58" s="41">
        <v>2</v>
      </c>
      <c r="N58" s="41"/>
      <c r="O58" s="41"/>
      <c r="P58" s="41"/>
      <c r="Q58" s="41"/>
      <c r="R58" s="41"/>
      <c r="S58" s="41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1:50" ht="20.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>
        <f>IF(SUM(N53:N56)=1,1,M58)</f>
        <v>1</v>
      </c>
      <c r="N59" s="41">
        <f>4-COUNTBLANK(N53:N56)</f>
        <v>1</v>
      </c>
      <c r="O59" s="41"/>
      <c r="P59" s="41"/>
      <c r="Q59" s="41"/>
      <c r="R59" s="41"/>
      <c r="S59" s="41"/>
      <c r="T59" s="17"/>
      <c r="U59" s="21" t="s">
        <v>252</v>
      </c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7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1:50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6"/>
      <c r="P60" s="46"/>
      <c r="Q60" s="41"/>
      <c r="R60" s="41"/>
      <c r="S60" s="41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1:50" x14ac:dyDescent="0.25">
      <c r="A61" s="41"/>
      <c r="B61" s="41" t="s">
        <v>169</v>
      </c>
      <c r="C61" s="62">
        <f>HCPAccumulatorPressure*PistonArea-UserReturnForce</f>
        <v>17.5</v>
      </c>
      <c r="D61" s="41"/>
      <c r="E61" s="41" t="s">
        <v>233</v>
      </c>
      <c r="F61" s="41"/>
      <c r="G61" s="41"/>
      <c r="H61" s="41"/>
      <c r="I61" s="41"/>
      <c r="J61" s="41"/>
      <c r="K61" s="49" t="str">
        <f>IFERROR(VLOOKUP(1,$M$53:$O$56,3,FALSE),"")</f>
        <v>Integrated Base Mount</v>
      </c>
      <c r="L61" s="46"/>
      <c r="M61" s="46"/>
      <c r="N61" s="41"/>
      <c r="O61" s="46"/>
      <c r="P61" s="46"/>
      <c r="Q61" s="41"/>
      <c r="R61" s="41"/>
      <c r="S61" s="41"/>
      <c r="T61" s="17"/>
      <c r="U61" s="26" t="s">
        <v>13</v>
      </c>
      <c r="V61" s="17"/>
      <c r="W61" s="26" t="s">
        <v>219</v>
      </c>
      <c r="X61" s="17"/>
      <c r="Y61" s="26" t="s">
        <v>223</v>
      </c>
      <c r="Z61" s="17"/>
      <c r="AA61" s="26" t="s">
        <v>217</v>
      </c>
      <c r="AB61" s="17"/>
      <c r="AC61" s="26" t="s">
        <v>220</v>
      </c>
      <c r="AD61" s="17"/>
      <c r="AE61" s="26" t="s">
        <v>251</v>
      </c>
      <c r="AF61" s="17"/>
      <c r="AG61" s="17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1:50" ht="15.75" customHeight="1" x14ac:dyDescent="0.25">
      <c r="A62" s="41"/>
      <c r="B62" s="41" t="s">
        <v>167</v>
      </c>
      <c r="C62" s="60">
        <f>(CamGasFillingPressure/NormalCamPressure)*CamReturnForce</f>
        <v>2</v>
      </c>
      <c r="D62" s="41"/>
      <c r="E62" s="41">
        <f>HCPAccumulatorPressure*HCPPistonArea</f>
        <v>19.5</v>
      </c>
      <c r="F62" s="41"/>
      <c r="G62" s="41"/>
      <c r="H62" s="41"/>
      <c r="I62" s="41"/>
      <c r="J62" s="41"/>
      <c r="K62" s="49" t="str">
        <f>IFERROR(VLOOKUP(2,$M$53:$O$56,3,FALSE),"")</f>
        <v/>
      </c>
      <c r="L62" s="46"/>
      <c r="M62" s="46"/>
      <c r="N62" s="41"/>
      <c r="O62" s="46"/>
      <c r="P62" s="46"/>
      <c r="Q62" s="41"/>
      <c r="R62" s="41"/>
      <c r="S62" s="41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1:50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9"/>
      <c r="L63" s="46"/>
      <c r="M63" s="46"/>
      <c r="N63" s="41"/>
      <c r="O63" s="46"/>
      <c r="P63" s="46"/>
      <c r="Q63" s="41"/>
      <c r="R63" s="41"/>
      <c r="S63" s="41"/>
      <c r="T63" s="17"/>
      <c r="U63" s="17" t="str">
        <f>Product_Type</f>
        <v>Compact Cam</v>
      </c>
      <c r="V63" s="17"/>
      <c r="W63" s="22" t="str">
        <f>CamDescription</f>
        <v>CC 015-010</v>
      </c>
      <c r="X63" s="22"/>
      <c r="Y63" s="22" t="str">
        <f>CONCATENATE(NumberOfCams," pc")</f>
        <v>1 pc</v>
      </c>
      <c r="Z63" s="22"/>
      <c r="AA63" s="22" t="str">
        <f>CONCATENATE(ROUND(UserCamForce,1)," kN")</f>
        <v>17,5 kN</v>
      </c>
      <c r="AB63" s="22"/>
      <c r="AC63" s="22" t="str">
        <f>CONCATENATE(Stroke," mm")</f>
        <v>10 mm</v>
      </c>
      <c r="AD63" s="22"/>
      <c r="AE63" s="22" t="str">
        <f>CONCATENATE(ROUND(CamSpeed,2)," m/s")</f>
        <v>0,8 m/s</v>
      </c>
      <c r="AF63" s="17"/>
      <c r="AG63" s="17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1:50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9"/>
      <c r="L64" s="46"/>
      <c r="M64" s="46"/>
      <c r="N64" s="41"/>
      <c r="O64" s="41"/>
      <c r="P64" s="41"/>
      <c r="Q64" s="41"/>
      <c r="R64" s="41"/>
      <c r="S64" s="41"/>
      <c r="T64" s="17"/>
      <c r="U64" s="17" t="s">
        <v>222</v>
      </c>
      <c r="V64" s="17"/>
      <c r="W64" s="35" t="str">
        <f>HCPDescription</f>
        <v>HCP 015-035</v>
      </c>
      <c r="X64" s="35"/>
      <c r="Y64" s="35" t="s">
        <v>225</v>
      </c>
      <c r="Z64" s="35"/>
      <c r="AA64" s="35"/>
      <c r="AB64" s="35"/>
      <c r="AC64" s="35" t="str">
        <f>CONCATENATE(HCPStroke," mm")</f>
        <v>20 mm</v>
      </c>
      <c r="AD64" s="35"/>
      <c r="AE64" s="35" t="str">
        <f>CONCATENATE(UserHCPSpeed," m/s")</f>
        <v>0,8 m/s</v>
      </c>
      <c r="AF64" s="17"/>
      <c r="AG64" s="17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1:50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4">
        <v>1</v>
      </c>
      <c r="N65" s="41">
        <f>2-COUNTBLANK(ProximitySensor)</f>
        <v>1</v>
      </c>
      <c r="O65" s="46"/>
      <c r="P65" s="41"/>
      <c r="Q65" s="41"/>
      <c r="R65" s="41"/>
      <c r="S65" s="41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27"/>
      <c r="AG65" s="17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</row>
    <row r="66" spans="1:50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>
        <f>IF(AND(M65=2,ISBLANK(ProximitySensor)),1,M65)</f>
        <v>1</v>
      </c>
      <c r="N66" s="41"/>
      <c r="O66" s="41"/>
      <c r="P66" s="41"/>
      <c r="Q66" s="41"/>
      <c r="R66" s="41"/>
      <c r="S66" s="41"/>
      <c r="T66" s="17"/>
      <c r="U66" s="36" t="s">
        <v>226</v>
      </c>
      <c r="V66" s="17" t="str">
        <f>HCPHoseDimension</f>
        <v>1/2"</v>
      </c>
      <c r="W66" s="17" t="str">
        <f>VLOOKUP(HCPHoseDimension,Hoses,2,FALSE)</f>
        <v>30 214 54 - xxxx</v>
      </c>
      <c r="X66" s="17"/>
      <c r="Y66" s="17"/>
      <c r="Z66" s="27"/>
      <c r="AA66" s="17"/>
      <c r="AB66" s="17"/>
      <c r="AC66" s="17"/>
      <c r="AD66" s="17"/>
      <c r="AE66" s="17"/>
      <c r="AF66" s="27"/>
      <c r="AG66" s="17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1:50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64" t="str">
        <f>IF(ProximitySensor&lt;&gt;0,"Options","")</f>
        <v/>
      </c>
      <c r="L67" s="46"/>
      <c r="M67" s="46"/>
      <c r="N67" s="46"/>
      <c r="O67" s="41">
        <v>1</v>
      </c>
      <c r="P67" s="41" t="s">
        <v>248</v>
      </c>
      <c r="Q67" s="41"/>
      <c r="R67" s="41"/>
      <c r="S67" s="41"/>
      <c r="T67" s="17"/>
      <c r="U67" s="36"/>
      <c r="V67" s="17"/>
      <c r="W67" s="17"/>
      <c r="X67" s="17"/>
      <c r="Y67" s="17"/>
      <c r="Z67" s="27"/>
      <c r="AA67" s="17"/>
      <c r="AB67" s="17"/>
      <c r="AC67" s="17"/>
      <c r="AD67" s="17"/>
      <c r="AE67" s="17"/>
      <c r="AF67" s="27"/>
      <c r="AG67" s="17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1:50" x14ac:dyDescent="0.25">
      <c r="A68" s="41"/>
      <c r="B68" s="41" t="s">
        <v>193</v>
      </c>
      <c r="C68" s="41">
        <f>CamMaxForce</f>
        <v>15</v>
      </c>
      <c r="D68" s="41"/>
      <c r="E68" s="41"/>
      <c r="F68" s="41"/>
      <c r="G68" s="41"/>
      <c r="H68" s="41"/>
      <c r="I68" s="41"/>
      <c r="J68" s="41"/>
      <c r="K68" s="66" t="str">
        <f>IF(ProximitySensor&lt;&gt;0,"Proximity Sensor Kit","")</f>
        <v/>
      </c>
      <c r="L68" s="46"/>
      <c r="M68" s="65" t="str">
        <f>IF(ProximitySensor&lt;&gt;0,CONCATENATE("Proximity Sensor Kit ","     Order No. ",ProximitySensor),"")</f>
        <v/>
      </c>
      <c r="N68" s="46"/>
      <c r="O68" s="41">
        <v>2</v>
      </c>
      <c r="P68" s="41" t="s">
        <v>249</v>
      </c>
      <c r="Q68" s="41"/>
      <c r="R68" s="41"/>
      <c r="S68" s="41"/>
      <c r="T68" s="17"/>
      <c r="U68" s="36" t="str">
        <f>VLOOKUP(M59,M53:O56,3,FALSE)</f>
        <v>Integrated Base Mount</v>
      </c>
      <c r="V68" s="17"/>
      <c r="W68" s="37" t="str">
        <f>VLOOKUP(U68,K53:L56,2,FALSE)</f>
        <v>No Order No.</v>
      </c>
      <c r="X68" s="17"/>
      <c r="Y68" s="17"/>
      <c r="Z68" s="27"/>
      <c r="AA68" s="17"/>
      <c r="AB68" s="17"/>
      <c r="AC68" s="17"/>
      <c r="AD68" s="17"/>
      <c r="AE68" s="17"/>
      <c r="AF68" s="27"/>
      <c r="AG68" s="17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1:50" x14ac:dyDescent="0.25">
      <c r="A69" s="41"/>
      <c r="B69" s="41">
        <v>0.8</v>
      </c>
      <c r="C69" s="41">
        <v>0.8</v>
      </c>
      <c r="D69" s="41">
        <v>0.4</v>
      </c>
      <c r="E69" s="41">
        <v>0.2</v>
      </c>
      <c r="F69" s="41"/>
      <c r="G69" s="41"/>
      <c r="H69" s="41"/>
      <c r="I69" s="41"/>
      <c r="J69" s="41"/>
      <c r="K69" s="66" t="str">
        <f>IF(ProximitySensor&lt;&gt;0,"Sensor Part No.","")</f>
        <v/>
      </c>
      <c r="L69" s="46"/>
      <c r="M69" s="65" t="str">
        <f>IF(ProximitySensor&lt;&gt;0,CONCATENATE("Order No. ",SensorNr),"")</f>
        <v/>
      </c>
      <c r="N69" s="46"/>
      <c r="O69" s="41"/>
      <c r="P69" s="41"/>
      <c r="Q69" s="41"/>
      <c r="R69" s="41"/>
      <c r="S69" s="41"/>
      <c r="T69" s="17"/>
      <c r="U69" s="36"/>
      <c r="V69" s="17"/>
      <c r="W69" s="37"/>
      <c r="X69" s="17"/>
      <c r="Y69" s="17"/>
      <c r="Z69" s="27"/>
      <c r="AA69" s="17"/>
      <c r="AB69" s="17"/>
      <c r="AC69" s="17"/>
      <c r="AD69" s="17"/>
      <c r="AE69" s="17"/>
      <c r="AF69" s="27"/>
      <c r="AG69" s="17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1:50" x14ac:dyDescent="0.25">
      <c r="A70" s="41"/>
      <c r="B70" s="41" t="str">
        <f>VLOOKUP(CamMaxForce,Drivare!$D2:$L40,6)</f>
        <v>1/2"</v>
      </c>
      <c r="C70" s="41" t="str">
        <f>VLOOKUP(CamMaxForce,Drivare!$D2:$L40,7)</f>
        <v>3/8"</v>
      </c>
      <c r="D70" s="41" t="str">
        <f>VLOOKUP(CamMaxForce,Drivare!$D2:$L40,8)</f>
        <v>3/8"</v>
      </c>
      <c r="E70" s="41" t="str">
        <f>VLOOKUP(CamMaxForce,Drivare!$D2:$L40,9)</f>
        <v>3/8"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17"/>
      <c r="U70" s="36" t="str">
        <f>VLOOKUP(Index_ListBoxOption,$O$67:$P$68,2,FALSE)</f>
        <v>No Option</v>
      </c>
      <c r="V70" s="17"/>
      <c r="W70" s="17"/>
      <c r="X70" s="17"/>
      <c r="Y70" s="17"/>
      <c r="Z70" s="27"/>
      <c r="AA70" s="17"/>
      <c r="AB70" s="17"/>
      <c r="AC70" s="17"/>
      <c r="AD70" s="17"/>
      <c r="AE70" s="17"/>
      <c r="AF70" s="27"/>
      <c r="AG70" s="17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1:50" ht="14.2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17"/>
      <c r="U71" s="24" t="str">
        <f>IF(U70="Proximity Sensor","Kit","")</f>
        <v/>
      </c>
      <c r="V71" s="17"/>
      <c r="W71" s="17" t="str">
        <f>IF(U70="Proximity Sensor",ProximitySensor,"")</f>
        <v/>
      </c>
      <c r="X71" s="17"/>
      <c r="Y71" s="17"/>
      <c r="Z71" s="27"/>
      <c r="AA71" s="17"/>
      <c r="AB71" s="17"/>
      <c r="AC71" s="17"/>
      <c r="AD71" s="17"/>
      <c r="AE71" s="17"/>
      <c r="AF71" s="27"/>
      <c r="AG71" s="17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1:50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17"/>
      <c r="U72" s="24" t="str">
        <f>IF(U70="Proximity Sensor","2 pcs Sensors","")</f>
        <v/>
      </c>
      <c r="V72" s="17"/>
      <c r="W72" s="24" t="str">
        <f>IF(U70="Proximity Sensor",SensorNr,"")</f>
        <v/>
      </c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1:50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17"/>
      <c r="U73" s="24"/>
      <c r="V73" s="17"/>
      <c r="W73" s="24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1:50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1:50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17"/>
      <c r="U75" s="38" t="s">
        <v>170</v>
      </c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1:50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1:50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1:50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1:50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1:50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1:50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1:50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1:50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1:50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1:50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17"/>
      <c r="U85" s="38" t="s">
        <v>171</v>
      </c>
      <c r="V85" s="17"/>
      <c r="W85" s="17"/>
      <c r="X85" s="17"/>
      <c r="Y85" s="70" t="s">
        <v>172</v>
      </c>
      <c r="Z85" s="17"/>
      <c r="AA85" s="17" t="s">
        <v>160</v>
      </c>
      <c r="AB85" s="17"/>
      <c r="AC85" s="17"/>
      <c r="AD85" s="17"/>
      <c r="AE85" s="17"/>
      <c r="AF85" s="17"/>
      <c r="AG85" s="17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1:50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1:50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X87" s="11"/>
    </row>
    <row r="88" spans="1:50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50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50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50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50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50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50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5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50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U98" s="1"/>
      <c r="V98" s="1"/>
      <c r="W98" s="1"/>
      <c r="X98" s="1"/>
      <c r="Y98" s="1"/>
      <c r="Z98" s="1"/>
      <c r="AA98" s="1"/>
      <c r="AB98" s="1"/>
      <c r="AC98" s="1"/>
    </row>
    <row r="99" spans="1:33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U99" s="1"/>
      <c r="V99" s="1"/>
      <c r="W99" s="1"/>
      <c r="X99" s="1"/>
      <c r="Y99" s="1"/>
      <c r="Z99" s="1"/>
      <c r="AA99" s="1"/>
      <c r="AB99" s="1"/>
      <c r="AC99" s="1"/>
    </row>
    <row r="100" spans="1:33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U100" s="1"/>
      <c r="V100" s="1"/>
      <c r="W100" s="1"/>
      <c r="X100" s="1"/>
      <c r="Y100" s="1"/>
      <c r="Z100" s="1"/>
      <c r="AA100" s="1"/>
      <c r="AB100" s="1"/>
      <c r="AC100" s="1"/>
    </row>
    <row r="101" spans="1:33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1:33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</row>
    <row r="103" spans="1:33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1:33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1:33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1:33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</row>
    <row r="107" spans="1:33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</row>
    <row r="108" spans="1:33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33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33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33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  <row r="112" spans="1:33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1:19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</row>
    <row r="114" spans="1:19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1:19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</row>
    <row r="116" spans="1:19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</row>
    <row r="117" spans="1:19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</row>
    <row r="118" spans="1:19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</row>
    <row r="119" spans="1:19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</row>
    <row r="120" spans="1:19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</row>
    <row r="121" spans="1:19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</row>
    <row r="122" spans="1:19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</row>
    <row r="123" spans="1:19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</row>
    <row r="124" spans="1:19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</row>
    <row r="125" spans="1:19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</row>
    <row r="126" spans="1:19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</row>
    <row r="127" spans="1:19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</row>
    <row r="128" spans="1:19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</row>
    <row r="129" spans="1:19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</row>
    <row r="130" spans="1:19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</row>
    <row r="131" spans="1:19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</row>
    <row r="132" spans="1:19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</row>
    <row r="133" spans="1:19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</row>
    <row r="134" spans="1:19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</row>
    <row r="135" spans="1:19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</row>
    <row r="136" spans="1:19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</row>
    <row r="137" spans="1:19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1:19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</row>
    <row r="139" spans="1:19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</row>
    <row r="140" spans="1:19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</row>
    <row r="141" spans="1:19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</row>
    <row r="142" spans="1:19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</row>
    <row r="143" spans="1:19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</row>
    <row r="144" spans="1:19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</row>
    <row r="145" spans="1:19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</row>
    <row r="146" spans="1:19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</row>
    <row r="147" spans="1:19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1:19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</row>
    <row r="149" spans="1:19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</row>
    <row r="150" spans="1:19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</row>
    <row r="151" spans="1:19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</row>
    <row r="152" spans="1:19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</row>
    <row r="153" spans="1:19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</row>
    <row r="154" spans="1:19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</row>
    <row r="155" spans="1:19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</row>
    <row r="156" spans="1:19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</row>
    <row r="157" spans="1:19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</row>
    <row r="158" spans="1:19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</row>
    <row r="159" spans="1:19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</row>
    <row r="160" spans="1:19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</row>
    <row r="161" spans="1:19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</row>
    <row r="162" spans="1:19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</row>
    <row r="163" spans="1:19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</row>
    <row r="164" spans="1:19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</row>
    <row r="165" spans="1:19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</row>
    <row r="166" spans="1:19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</row>
    <row r="167" spans="1:19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</row>
    <row r="168" spans="1:19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</row>
    <row r="169" spans="1:19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</row>
    <row r="170" spans="1:19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</row>
    <row r="171" spans="1:19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</row>
    <row r="172" spans="1:19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</row>
    <row r="173" spans="1:19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</row>
    <row r="174" spans="1:19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</row>
    <row r="175" spans="1:19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</row>
    <row r="176" spans="1:19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</row>
    <row r="177" spans="1:19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</row>
    <row r="178" spans="1:19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</row>
    <row r="179" spans="1:19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</row>
    <row r="180" spans="1:19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</row>
    <row r="181" spans="1:19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</row>
    <row r="182" spans="1:19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</row>
    <row r="183" spans="1:19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</row>
    <row r="184" spans="1:19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</row>
    <row r="185" spans="1:19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</row>
    <row r="186" spans="1:19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</row>
    <row r="187" spans="1:19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</row>
    <row r="188" spans="1:19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</row>
    <row r="189" spans="1:19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</row>
    <row r="190" spans="1:19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</row>
    <row r="191" spans="1:19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</row>
    <row r="192" spans="1:19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</row>
    <row r="193" spans="1:19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</row>
    <row r="194" spans="1:19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</row>
    <row r="195" spans="1:19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</row>
    <row r="196" spans="1:19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</row>
    <row r="197" spans="1:19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</row>
    <row r="198" spans="1:19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</row>
    <row r="199" spans="1:19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</row>
    <row r="200" spans="1:19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</row>
    <row r="201" spans="1:19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</row>
    <row r="202" spans="1:19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</row>
    <row r="203" spans="1:19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</row>
    <row r="204" spans="1:19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</row>
    <row r="205" spans="1:19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</row>
    <row r="206" spans="1:19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</row>
    <row r="207" spans="1:19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</row>
    <row r="208" spans="1:19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</row>
    <row r="209" spans="1:19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</row>
    <row r="210" spans="1:19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</row>
    <row r="211" spans="1:19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</row>
    <row r="212" spans="1:19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</row>
    <row r="213" spans="1:19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</row>
    <row r="214" spans="1:19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</row>
    <row r="215" spans="1:19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</row>
    <row r="216" spans="1:19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</row>
    <row r="217" spans="1:19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</row>
    <row r="218" spans="1:19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</row>
    <row r="219" spans="1:19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</row>
    <row r="220" spans="1:19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</row>
    <row r="221" spans="1:19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</row>
    <row r="222" spans="1:19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</row>
    <row r="223" spans="1:19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</row>
    <row r="224" spans="1:19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</row>
    <row r="225" spans="1:19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</row>
    <row r="226" spans="1:19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</row>
    <row r="227" spans="1:19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</row>
    <row r="228" spans="1:19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</row>
    <row r="229" spans="1:19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</row>
    <row r="230" spans="1:19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</row>
    <row r="231" spans="1:19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</row>
    <row r="232" spans="1:19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</row>
    <row r="233" spans="1:19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</row>
    <row r="234" spans="1:19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</row>
    <row r="235" spans="1:19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</row>
    <row r="236" spans="1:19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</row>
    <row r="237" spans="1:19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</row>
    <row r="238" spans="1:19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</row>
    <row r="239" spans="1:19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</row>
    <row r="240" spans="1:19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</row>
    <row r="241" spans="1:19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</row>
    <row r="242" spans="1:19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</row>
    <row r="243" spans="1:19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</row>
    <row r="244" spans="1:19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</row>
    <row r="245" spans="1:19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</row>
    <row r="246" spans="1:19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</row>
    <row r="247" spans="1:19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</row>
    <row r="248" spans="1:19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</row>
    <row r="249" spans="1:19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</row>
    <row r="250" spans="1:19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</row>
    <row r="251" spans="1:19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</row>
    <row r="252" spans="1:19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</row>
    <row r="253" spans="1:19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</row>
    <row r="254" spans="1:19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</row>
    <row r="255" spans="1:19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</row>
    <row r="256" spans="1:19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</row>
    <row r="257" spans="1:19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</row>
    <row r="258" spans="1:19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</row>
    <row r="259" spans="1:19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</row>
    <row r="260" spans="1:19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</row>
    <row r="261" spans="1:19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</row>
    <row r="262" spans="1:19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</row>
    <row r="263" spans="1:19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</row>
    <row r="264" spans="1:19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</row>
    <row r="265" spans="1:19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</row>
    <row r="266" spans="1:19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</row>
    <row r="267" spans="1:19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</row>
    <row r="268" spans="1:19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</row>
    <row r="269" spans="1:19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</row>
    <row r="270" spans="1:19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</row>
    <row r="271" spans="1:19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</row>
    <row r="272" spans="1:19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</row>
    <row r="273" spans="1:19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</row>
    <row r="274" spans="1:19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</row>
    <row r="275" spans="1:19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</row>
    <row r="276" spans="1:19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</row>
    <row r="277" spans="1:19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</row>
    <row r="278" spans="1:19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</row>
    <row r="279" spans="1:19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</row>
    <row r="280" spans="1:19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</row>
    <row r="281" spans="1:19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</row>
    <row r="282" spans="1:19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</row>
    <row r="283" spans="1:19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</row>
    <row r="284" spans="1:19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</row>
    <row r="285" spans="1:19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</row>
    <row r="286" spans="1:19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</row>
    <row r="287" spans="1:19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</row>
    <row r="288" spans="1:19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</row>
    <row r="289" spans="1:19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</row>
    <row r="290" spans="1:19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</row>
    <row r="291" spans="1:19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</row>
    <row r="292" spans="1:19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</row>
    <row r="293" spans="1:19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</row>
    <row r="294" spans="1:19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</row>
    <row r="295" spans="1:19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</row>
    <row r="296" spans="1:19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</row>
    <row r="297" spans="1:19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</row>
    <row r="298" spans="1:19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</row>
    <row r="299" spans="1:19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</row>
    <row r="300" spans="1:19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</row>
    <row r="301" spans="1:19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</row>
    <row r="302" spans="1:19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</row>
    <row r="303" spans="1:19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</row>
    <row r="304" spans="1:19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</row>
    <row r="305" spans="1:19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</row>
    <row r="306" spans="1:19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</row>
    <row r="307" spans="1:19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</row>
    <row r="308" spans="1:19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</row>
    <row r="309" spans="1:19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</row>
    <row r="310" spans="1:19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</row>
    <row r="311" spans="1:19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</row>
    <row r="312" spans="1:19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</row>
    <row r="313" spans="1:19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</row>
    <row r="314" spans="1:19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</row>
    <row r="315" spans="1:19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</row>
    <row r="316" spans="1:19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</row>
    <row r="317" spans="1:19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</row>
    <row r="318" spans="1:19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</row>
    <row r="319" spans="1:19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</row>
    <row r="320" spans="1:19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</row>
    <row r="321" spans="1:19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</row>
    <row r="322" spans="1:19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</row>
    <row r="323" spans="1:19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</row>
    <row r="324" spans="1:19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</row>
    <row r="325" spans="1:19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</row>
    <row r="326" spans="1:19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</row>
    <row r="327" spans="1:19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</row>
    <row r="328" spans="1:19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</row>
    <row r="329" spans="1:19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</row>
    <row r="330" spans="1:19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</row>
    <row r="331" spans="1:19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</row>
    <row r="332" spans="1:19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</row>
    <row r="333" spans="1:19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</row>
    <row r="334" spans="1:19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</row>
    <row r="335" spans="1:19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</row>
    <row r="336" spans="1:19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</row>
    <row r="337" spans="1:19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</row>
    <row r="338" spans="1:19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</row>
    <row r="339" spans="1:19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</row>
    <row r="340" spans="1:19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</row>
    <row r="341" spans="1:19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</row>
    <row r="342" spans="1:19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</row>
    <row r="343" spans="1:19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</row>
    <row r="344" spans="1:19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</row>
    <row r="345" spans="1:19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</row>
    <row r="346" spans="1:19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</row>
    <row r="347" spans="1:19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</row>
    <row r="348" spans="1:19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</row>
    <row r="349" spans="1:19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</row>
    <row r="350" spans="1:19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</row>
    <row r="351" spans="1:19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</row>
    <row r="352" spans="1:19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</row>
    <row r="353" spans="1:19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</row>
    <row r="354" spans="1:19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</row>
    <row r="355" spans="1:19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</row>
    <row r="356" spans="1:19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</row>
    <row r="357" spans="1:19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</row>
    <row r="358" spans="1:19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</row>
    <row r="359" spans="1:19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</row>
    <row r="360" spans="1:19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</row>
    <row r="361" spans="1:19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</row>
    <row r="362" spans="1:19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</row>
    <row r="363" spans="1:19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</row>
    <row r="364" spans="1:19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</row>
    <row r="365" spans="1:19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</row>
    <row r="366" spans="1:19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</row>
    <row r="367" spans="1:19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</row>
    <row r="368" spans="1:19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</row>
    <row r="369" spans="1:19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</row>
    <row r="370" spans="1:19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</row>
    <row r="371" spans="1:19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</row>
    <row r="372" spans="1:19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</row>
    <row r="373" spans="1:19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</row>
    <row r="374" spans="1:19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</row>
    <row r="375" spans="1:19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</row>
    <row r="376" spans="1:19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</row>
    <row r="377" spans="1:19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</row>
    <row r="378" spans="1:19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</row>
    <row r="379" spans="1:19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</row>
    <row r="380" spans="1:19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</row>
    <row r="381" spans="1:19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</row>
    <row r="382" spans="1:19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</row>
    <row r="383" spans="1:19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</row>
    <row r="384" spans="1:19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</row>
    <row r="385" spans="1:19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</row>
    <row r="386" spans="1:19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</row>
    <row r="387" spans="1:19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</row>
    <row r="388" spans="1:19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</row>
    <row r="389" spans="1:19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</row>
    <row r="390" spans="1:19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</row>
    <row r="391" spans="1:19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</row>
    <row r="392" spans="1:19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</row>
    <row r="393" spans="1:19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</row>
    <row r="394" spans="1:19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</row>
    <row r="395" spans="1:19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</row>
    <row r="396" spans="1:19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</row>
    <row r="397" spans="1:19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</row>
    <row r="398" spans="1:19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</row>
    <row r="399" spans="1:19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</row>
    <row r="400" spans="1:19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</row>
    <row r="401" spans="1:19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</row>
    <row r="402" spans="1:19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</row>
    <row r="403" spans="1:19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</row>
    <row r="404" spans="1:19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</row>
    <row r="405" spans="1:19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</row>
    <row r="406" spans="1:19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</row>
    <row r="407" spans="1:19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</row>
    <row r="408" spans="1:19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</row>
    <row r="409" spans="1:19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</row>
    <row r="410" spans="1:19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</row>
    <row r="411" spans="1:19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</row>
    <row r="412" spans="1:19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</row>
    <row r="413" spans="1:19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</row>
    <row r="414" spans="1:19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</row>
    <row r="415" spans="1:19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</row>
    <row r="416" spans="1:19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</row>
    <row r="417" spans="1:19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</row>
    <row r="418" spans="1:19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</row>
    <row r="419" spans="1:19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</row>
    <row r="420" spans="1:19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</row>
    <row r="421" spans="1:19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</row>
    <row r="422" spans="1:19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</row>
    <row r="423" spans="1:19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</row>
    <row r="424" spans="1:19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</row>
    <row r="425" spans="1:19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</row>
    <row r="426" spans="1:19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</row>
    <row r="427" spans="1:19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</row>
    <row r="428" spans="1:19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</row>
    <row r="429" spans="1:19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</row>
    <row r="430" spans="1:19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</row>
    <row r="431" spans="1:19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</row>
    <row r="432" spans="1:19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</row>
    <row r="433" spans="1:19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</row>
    <row r="434" spans="1:19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</row>
    <row r="435" spans="1:19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</row>
    <row r="436" spans="1:19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</row>
    <row r="437" spans="1:19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</row>
    <row r="438" spans="1:19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</row>
    <row r="439" spans="1:19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</row>
    <row r="440" spans="1:19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</row>
    <row r="441" spans="1:19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</row>
    <row r="442" spans="1:19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</row>
    <row r="443" spans="1:19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</row>
    <row r="444" spans="1:19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</row>
    <row r="445" spans="1:19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</row>
    <row r="446" spans="1:19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</row>
    <row r="447" spans="1:19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</row>
    <row r="448" spans="1:19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</row>
    <row r="449" spans="1:19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</row>
    <row r="450" spans="1:19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</row>
    <row r="451" spans="1:19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</row>
    <row r="452" spans="1:19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</row>
    <row r="453" spans="1:19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</row>
    <row r="454" spans="1:19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</row>
    <row r="455" spans="1:19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</row>
    <row r="456" spans="1:19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</row>
    <row r="457" spans="1:19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</row>
    <row r="458" spans="1:19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</row>
    <row r="459" spans="1:19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</row>
    <row r="460" spans="1:19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</row>
    <row r="461" spans="1:19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</row>
    <row r="462" spans="1:19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</row>
    <row r="463" spans="1:19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</row>
    <row r="464" spans="1:19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</row>
    <row r="465" spans="1:19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</row>
    <row r="466" spans="1:19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</row>
    <row r="467" spans="1:19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</row>
    <row r="468" spans="1:19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</row>
    <row r="469" spans="1:19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</row>
    <row r="470" spans="1:19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</row>
    <row r="471" spans="1:19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</row>
  </sheetData>
  <sheetProtection algorithmName="SHA-512" hashValue="LxcqzI7fK95TR+nq1PlgrtIMeH29o1IsJR9SEPR9dv04tw3C3z6oEujNjgYKpPaDleTMGm1mIcdLYhk7RTfx2g==" saltValue="r8+IDpTAji+Ywd1XRhjRgA==" spinCount="100000" sheet="1" selectLockedCells="1"/>
  <dataValidations count="2">
    <dataValidation type="list" allowBlank="1" showInputMessage="1" showErrorMessage="1" sqref="AD49" xr:uid="{00000000-0002-0000-0000-000000000000}">
      <formula1>$L$16:$L$18</formula1>
    </dataValidation>
    <dataValidation type="decimal" allowBlank="1" showInputMessage="1" showErrorMessage="1" error="Max 0,8 m/s down stroke" sqref="W31" xr:uid="{00000000-0002-0000-0000-000001000000}">
      <formula1>0</formula1>
      <formula2>0.8</formula2>
    </dataValidation>
  </dataValidations>
  <hyperlinks>
    <hyperlink ref="Y85" r:id="rId1" xr:uid="{00000000-0004-0000-0000-000000000000}"/>
  </hyperlinks>
  <pageMargins left="0.7" right="0.7" top="0.75" bottom="0.75" header="0.3" footer="0.3"/>
  <pageSetup paperSize="9" scale="5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List_Box_1">
              <controlPr locked="0" defaultSize="0" autoLine="0" autoPict="0" macro="[0]!ValAvCam">
                <anchor moveWithCells="1">
                  <from>
                    <xdr:col>19</xdr:col>
                    <xdr:colOff>657225</xdr:colOff>
                    <xdr:row>11</xdr:row>
                    <xdr:rowOff>47625</xdr:rowOff>
                  </from>
                  <to>
                    <xdr:col>22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List_Box_2">
              <controlPr locked="0" defaultSize="0" autoLine="0" autoPict="0" macro="[0]!ValAvCam">
                <anchor moveWithCells="1">
                  <from>
                    <xdr:col>22</xdr:col>
                    <xdr:colOff>276225</xdr:colOff>
                    <xdr:row>11</xdr:row>
                    <xdr:rowOff>47625</xdr:rowOff>
                  </from>
                  <to>
                    <xdr:col>24</xdr:col>
                    <xdr:colOff>581025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List_Box_3">
              <controlPr locked="0" defaultSize="0" autoLine="0" autoPict="0" macro="[0]!ValAvCam">
                <anchor moveWithCells="1">
                  <from>
                    <xdr:col>25</xdr:col>
                    <xdr:colOff>161925</xdr:colOff>
                    <xdr:row>11</xdr:row>
                    <xdr:rowOff>47625</xdr:rowOff>
                  </from>
                  <to>
                    <xdr:col>26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List_Box_4">
              <controlPr locked="0" defaultSize="0" autoLine="0" autoPict="0" macro="[0]!ValAvCam">
                <anchor moveWithCells="1">
                  <from>
                    <xdr:col>26</xdr:col>
                    <xdr:colOff>314325</xdr:colOff>
                    <xdr:row>11</xdr:row>
                    <xdr:rowOff>47625</xdr:rowOff>
                  </from>
                  <to>
                    <xdr:col>27</xdr:col>
                    <xdr:colOff>371475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List_Box_5">
              <controlPr locked="0" defaultSize="0" autoLine="0" autoPict="0" macro="[0]!ValAvHCP">
                <anchor moveWithCells="1">
                  <from>
                    <xdr:col>28</xdr:col>
                    <xdr:colOff>76200</xdr:colOff>
                    <xdr:row>11</xdr:row>
                    <xdr:rowOff>57150</xdr:rowOff>
                  </from>
                  <to>
                    <xdr:col>29</xdr:col>
                    <xdr:colOff>133350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ListBox_11">
              <controlPr locked="0" defaultSize="0" autoLine="0" autoPict="0" macro="[0]!ValAvCam">
                <anchor moveWithCells="1">
                  <from>
                    <xdr:col>20</xdr:col>
                    <xdr:colOff>19050</xdr:colOff>
                    <xdr:row>33</xdr:row>
                    <xdr:rowOff>152400</xdr:rowOff>
                  </from>
                  <to>
                    <xdr:col>23</xdr:col>
                    <xdr:colOff>276225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ListBox_12">
              <controlPr locked="0" defaultSize="0" autoLine="0" autoPict="0" macro="[0]!ValAvHCP">
                <anchor moveWithCells="1">
                  <from>
                    <xdr:col>23</xdr:col>
                    <xdr:colOff>476250</xdr:colOff>
                    <xdr:row>33</xdr:row>
                    <xdr:rowOff>152400</xdr:rowOff>
                  </from>
                  <to>
                    <xdr:col>29</xdr:col>
                    <xdr:colOff>361950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MountingListBox">
              <controlPr locked="0" defaultSize="0" autoLine="0" autoPict="0" macro="[0]!ValAvCam">
                <anchor moveWithCells="1">
                  <from>
                    <xdr:col>19</xdr:col>
                    <xdr:colOff>638175</xdr:colOff>
                    <xdr:row>23</xdr:row>
                    <xdr:rowOff>57150</xdr:rowOff>
                  </from>
                  <to>
                    <xdr:col>21</xdr:col>
                    <xdr:colOff>742950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OptionsListBox">
              <controlPr locked="0" defaultSize="0" autoLine="0" autoPict="0" macro="[0]!ValAvCam">
                <anchor moveWithCells="1">
                  <from>
                    <xdr:col>22</xdr:col>
                    <xdr:colOff>361950</xdr:colOff>
                    <xdr:row>23</xdr:row>
                    <xdr:rowOff>66675</xdr:rowOff>
                  </from>
                  <to>
                    <xdr:col>24</xdr:col>
                    <xdr:colOff>657225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A77"/>
  <sheetViews>
    <sheetView zoomScale="80" zoomScaleNormal="80" workbookViewId="0">
      <selection activeCell="J44" sqref="J44"/>
    </sheetView>
  </sheetViews>
  <sheetFormatPr defaultRowHeight="15" x14ac:dyDescent="0.25"/>
  <cols>
    <col min="1" max="1" width="27.42578125" style="1" customWidth="1"/>
    <col min="2" max="2" width="35.42578125" style="1" customWidth="1"/>
    <col min="3" max="3" width="26.140625" customWidth="1"/>
    <col min="4" max="4" width="12.85546875" bestFit="1" customWidth="1"/>
    <col min="5" max="5" width="18" bestFit="1" customWidth="1"/>
    <col min="6" max="6" width="22" bestFit="1" customWidth="1"/>
    <col min="7" max="7" width="23.85546875" customWidth="1"/>
    <col min="8" max="8" width="24.140625" bestFit="1" customWidth="1"/>
    <col min="9" max="9" width="28.85546875" customWidth="1"/>
    <col min="10" max="10" width="14.85546875" bestFit="1" customWidth="1"/>
    <col min="11" max="11" width="12.28515625" bestFit="1" customWidth="1"/>
    <col min="12" max="12" width="11.5703125" bestFit="1" customWidth="1"/>
    <col min="13" max="13" width="20.5703125" bestFit="1" customWidth="1"/>
    <col min="14" max="14" width="8.85546875" bestFit="1" customWidth="1"/>
    <col min="15" max="15" width="18.7109375" bestFit="1" customWidth="1"/>
    <col min="16" max="16" width="26.85546875" customWidth="1"/>
    <col min="17" max="17" width="22.85546875" customWidth="1"/>
    <col min="18" max="18" width="23.42578125" customWidth="1"/>
    <col min="21" max="21" width="20.140625" style="1" customWidth="1"/>
    <col min="22" max="22" width="23.42578125" style="1" customWidth="1"/>
    <col min="23" max="23" width="35.140625" bestFit="1" customWidth="1"/>
    <col min="24" max="24" width="22.7109375" customWidth="1"/>
  </cols>
  <sheetData>
    <row r="1" spans="1:27" x14ac:dyDescent="0.25">
      <c r="C1" t="s">
        <v>0</v>
      </c>
      <c r="D1" t="s">
        <v>2</v>
      </c>
      <c r="E1" t="s">
        <v>1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181</v>
      </c>
      <c r="R1" t="s">
        <v>188</v>
      </c>
    </row>
    <row r="2" spans="1:27" x14ac:dyDescent="0.25">
      <c r="A2" s="2" t="s">
        <v>15</v>
      </c>
      <c r="B2" s="2" t="s">
        <v>16</v>
      </c>
      <c r="C2" s="2">
        <v>15</v>
      </c>
      <c r="D2" s="2">
        <v>10</v>
      </c>
      <c r="E2" s="2">
        <v>2</v>
      </c>
      <c r="F2" s="2">
        <v>60</v>
      </c>
      <c r="G2" s="2">
        <v>125</v>
      </c>
      <c r="H2" s="2">
        <v>180</v>
      </c>
      <c r="I2" s="2" t="s">
        <v>250</v>
      </c>
      <c r="J2" s="9"/>
      <c r="K2" s="9"/>
      <c r="L2" s="9"/>
      <c r="M2" s="9"/>
      <c r="N2" s="9" t="s">
        <v>245</v>
      </c>
      <c r="O2" s="2">
        <v>0.13</v>
      </c>
      <c r="P2" s="2" t="s">
        <v>17</v>
      </c>
      <c r="Q2" s="2">
        <v>180</v>
      </c>
      <c r="R2" s="9" t="s">
        <v>185</v>
      </c>
      <c r="S2" s="2"/>
      <c r="T2" s="2"/>
      <c r="U2" s="2"/>
      <c r="V2" s="9"/>
      <c r="W2" s="2"/>
    </row>
    <row r="3" spans="1:27" x14ac:dyDescent="0.25">
      <c r="A3" s="2" t="s">
        <v>15</v>
      </c>
      <c r="B3" s="2" t="s">
        <v>16</v>
      </c>
      <c r="C3" s="2">
        <v>15</v>
      </c>
      <c r="D3" s="2">
        <v>24</v>
      </c>
      <c r="E3" s="2">
        <v>2</v>
      </c>
      <c r="F3" s="2">
        <v>60</v>
      </c>
      <c r="G3" s="2">
        <v>125</v>
      </c>
      <c r="H3" s="2">
        <v>180</v>
      </c>
      <c r="I3" s="2" t="s">
        <v>250</v>
      </c>
      <c r="J3" s="9"/>
      <c r="K3" s="9"/>
      <c r="L3" s="9"/>
      <c r="M3" s="2" t="s">
        <v>18</v>
      </c>
      <c r="N3" s="2">
        <v>503550</v>
      </c>
      <c r="O3" s="2">
        <v>0.13</v>
      </c>
      <c r="P3" s="2" t="s">
        <v>19</v>
      </c>
      <c r="Q3" s="2">
        <v>180</v>
      </c>
      <c r="R3" s="9" t="s">
        <v>185</v>
      </c>
      <c r="S3" s="2"/>
      <c r="T3" s="2"/>
      <c r="U3" s="2"/>
      <c r="V3" s="9"/>
      <c r="W3" s="2"/>
    </row>
    <row r="4" spans="1:27" x14ac:dyDescent="0.25">
      <c r="A4" s="2" t="s">
        <v>15</v>
      </c>
      <c r="B4" s="2" t="s">
        <v>16</v>
      </c>
      <c r="C4" s="2">
        <v>15</v>
      </c>
      <c r="D4" s="2">
        <v>49</v>
      </c>
      <c r="E4" s="2">
        <v>2</v>
      </c>
      <c r="F4" s="2">
        <v>60</v>
      </c>
      <c r="G4" s="2">
        <v>125</v>
      </c>
      <c r="H4" s="2">
        <v>180</v>
      </c>
      <c r="I4" s="2" t="s">
        <v>250</v>
      </c>
      <c r="J4" s="9"/>
      <c r="K4" s="9"/>
      <c r="L4" s="9"/>
      <c r="M4" s="2" t="s">
        <v>20</v>
      </c>
      <c r="N4" s="2">
        <v>503550</v>
      </c>
      <c r="O4" s="2">
        <v>0.13</v>
      </c>
      <c r="P4" s="2" t="s">
        <v>21</v>
      </c>
      <c r="Q4" s="2">
        <v>180</v>
      </c>
      <c r="R4" s="9" t="s">
        <v>185</v>
      </c>
      <c r="S4" s="2"/>
      <c r="T4" s="2"/>
      <c r="U4" s="2"/>
      <c r="V4" s="9"/>
      <c r="W4" s="2"/>
    </row>
    <row r="5" spans="1:27" x14ac:dyDescent="0.25">
      <c r="A5" s="1" t="s">
        <v>15</v>
      </c>
      <c r="B5" s="1" t="s">
        <v>22</v>
      </c>
      <c r="C5">
        <v>15</v>
      </c>
      <c r="D5">
        <v>10</v>
      </c>
      <c r="E5">
        <v>2</v>
      </c>
      <c r="F5">
        <v>60</v>
      </c>
      <c r="G5">
        <v>125</v>
      </c>
      <c r="H5" s="8">
        <v>180</v>
      </c>
      <c r="I5" t="s">
        <v>250</v>
      </c>
      <c r="J5" s="9"/>
      <c r="K5" s="9"/>
      <c r="L5" s="9"/>
      <c r="M5" s="5"/>
      <c r="N5" s="5" t="s">
        <v>245</v>
      </c>
      <c r="O5">
        <v>0.13</v>
      </c>
      <c r="P5" s="2" t="s">
        <v>23</v>
      </c>
      <c r="Q5" s="8">
        <v>180</v>
      </c>
      <c r="R5" s="9" t="s">
        <v>185</v>
      </c>
      <c r="V5" s="3"/>
    </row>
    <row r="6" spans="1:27" x14ac:dyDescent="0.25">
      <c r="A6" s="1" t="s">
        <v>15</v>
      </c>
      <c r="B6" s="1" t="s">
        <v>22</v>
      </c>
      <c r="C6">
        <v>15</v>
      </c>
      <c r="D6">
        <v>24</v>
      </c>
      <c r="E6">
        <v>2</v>
      </c>
      <c r="F6">
        <v>60</v>
      </c>
      <c r="G6">
        <v>125</v>
      </c>
      <c r="H6" s="8">
        <v>180</v>
      </c>
      <c r="I6" t="s">
        <v>250</v>
      </c>
      <c r="J6" s="9"/>
      <c r="K6" s="9"/>
      <c r="L6" s="9"/>
      <c r="M6" t="s">
        <v>18</v>
      </c>
      <c r="N6">
        <v>503550</v>
      </c>
      <c r="O6">
        <v>0.13</v>
      </c>
      <c r="P6" s="2" t="s">
        <v>24</v>
      </c>
      <c r="Q6" s="8">
        <v>180</v>
      </c>
      <c r="R6" s="9" t="s">
        <v>185</v>
      </c>
      <c r="V6" s="3"/>
    </row>
    <row r="7" spans="1:27" x14ac:dyDescent="0.25">
      <c r="A7" s="1" t="s">
        <v>15</v>
      </c>
      <c r="B7" s="1" t="s">
        <v>22</v>
      </c>
      <c r="C7">
        <v>15</v>
      </c>
      <c r="D7">
        <v>49</v>
      </c>
      <c r="E7">
        <v>2</v>
      </c>
      <c r="F7">
        <v>60</v>
      </c>
      <c r="G7">
        <v>125</v>
      </c>
      <c r="H7" s="8">
        <v>180</v>
      </c>
      <c r="I7" t="s">
        <v>250</v>
      </c>
      <c r="J7" s="9"/>
      <c r="K7" s="9"/>
      <c r="L7" s="9"/>
      <c r="M7" t="s">
        <v>20</v>
      </c>
      <c r="N7">
        <v>503550</v>
      </c>
      <c r="O7">
        <v>0.13</v>
      </c>
      <c r="P7" s="2" t="s">
        <v>25</v>
      </c>
      <c r="Q7" s="8">
        <v>180</v>
      </c>
      <c r="R7" s="9" t="s">
        <v>185</v>
      </c>
      <c r="V7" s="3"/>
      <c r="X7" s="1"/>
      <c r="Y7" s="1"/>
      <c r="Z7" s="1"/>
      <c r="AA7" s="1"/>
    </row>
    <row r="8" spans="1:27" x14ac:dyDescent="0.25">
      <c r="A8" s="2" t="s">
        <v>26</v>
      </c>
      <c r="B8" s="2" t="s">
        <v>16</v>
      </c>
      <c r="C8" s="2">
        <v>15</v>
      </c>
      <c r="D8" s="2">
        <v>25</v>
      </c>
      <c r="E8" s="2">
        <v>1.5</v>
      </c>
      <c r="F8" s="2">
        <v>60</v>
      </c>
      <c r="G8" s="2">
        <v>10</v>
      </c>
      <c r="H8" s="2">
        <v>40</v>
      </c>
      <c r="I8" s="9"/>
      <c r="J8" s="2" t="s">
        <v>235</v>
      </c>
      <c r="K8" s="2" t="s">
        <v>236</v>
      </c>
      <c r="L8" s="9"/>
      <c r="M8" s="9"/>
      <c r="N8" s="9"/>
      <c r="O8" s="2">
        <v>0.13</v>
      </c>
      <c r="P8" s="2" t="s">
        <v>27</v>
      </c>
      <c r="Q8" s="2">
        <v>20</v>
      </c>
      <c r="R8" s="9" t="s">
        <v>185</v>
      </c>
      <c r="S8" s="2"/>
      <c r="T8" s="2"/>
      <c r="U8" s="2"/>
      <c r="V8" s="9"/>
      <c r="W8" s="2"/>
      <c r="X8" s="1"/>
      <c r="Y8" s="1"/>
      <c r="Z8" s="1"/>
      <c r="AA8" s="1"/>
    </row>
    <row r="9" spans="1:27" x14ac:dyDescent="0.25">
      <c r="A9" s="2" t="s">
        <v>26</v>
      </c>
      <c r="B9" s="2" t="s">
        <v>16</v>
      </c>
      <c r="C9" s="2">
        <v>15</v>
      </c>
      <c r="D9" s="2">
        <v>50</v>
      </c>
      <c r="E9" s="2">
        <v>1.5</v>
      </c>
      <c r="F9" s="2">
        <v>60</v>
      </c>
      <c r="G9" s="2">
        <v>10</v>
      </c>
      <c r="H9" s="2">
        <v>40</v>
      </c>
      <c r="I9" s="9"/>
      <c r="J9" s="2" t="s">
        <v>235</v>
      </c>
      <c r="K9" s="2" t="s">
        <v>236</v>
      </c>
      <c r="L9" s="9"/>
      <c r="M9" s="9"/>
      <c r="N9" s="9"/>
      <c r="O9" s="2">
        <v>0.13</v>
      </c>
      <c r="P9" s="2" t="s">
        <v>28</v>
      </c>
      <c r="Q9" s="2">
        <v>20</v>
      </c>
      <c r="R9" s="9" t="s">
        <v>185</v>
      </c>
      <c r="S9" s="2"/>
      <c r="T9" s="2"/>
      <c r="U9" s="2"/>
      <c r="V9" s="9"/>
      <c r="W9" s="2"/>
      <c r="X9" s="1"/>
      <c r="Y9" s="1"/>
      <c r="Z9" s="1"/>
      <c r="AA9" s="1"/>
    </row>
    <row r="10" spans="1:27" x14ac:dyDescent="0.25">
      <c r="A10" s="2" t="s">
        <v>26</v>
      </c>
      <c r="B10" s="2" t="s">
        <v>16</v>
      </c>
      <c r="C10" s="2">
        <v>15</v>
      </c>
      <c r="D10" s="2">
        <v>100</v>
      </c>
      <c r="E10" s="2">
        <v>1.5</v>
      </c>
      <c r="F10" s="2">
        <v>60</v>
      </c>
      <c r="G10" s="2">
        <v>10</v>
      </c>
      <c r="H10" s="2">
        <v>40</v>
      </c>
      <c r="I10" s="9"/>
      <c r="J10" s="2" t="s">
        <v>235</v>
      </c>
      <c r="K10" s="2" t="s">
        <v>236</v>
      </c>
      <c r="L10" s="9"/>
      <c r="M10" s="9"/>
      <c r="N10" s="9"/>
      <c r="O10" s="2">
        <v>0.13</v>
      </c>
      <c r="P10" s="2" t="s">
        <v>29</v>
      </c>
      <c r="Q10" s="2">
        <v>20</v>
      </c>
      <c r="R10" s="9" t="s">
        <v>185</v>
      </c>
      <c r="S10" s="2"/>
      <c r="T10" s="2"/>
      <c r="U10" s="2"/>
      <c r="V10" s="9"/>
      <c r="W10" s="2"/>
      <c r="X10" s="1"/>
      <c r="Y10" s="1"/>
      <c r="Z10" s="1"/>
      <c r="AA10" s="1"/>
    </row>
    <row r="11" spans="1:27" x14ac:dyDescent="0.25">
      <c r="A11" s="2" t="s">
        <v>26</v>
      </c>
      <c r="B11" s="2" t="s">
        <v>16</v>
      </c>
      <c r="C11" s="2">
        <v>15</v>
      </c>
      <c r="D11" s="2">
        <v>150</v>
      </c>
      <c r="E11" s="2">
        <v>1.5</v>
      </c>
      <c r="F11" s="2">
        <v>60</v>
      </c>
      <c r="G11" s="2">
        <v>10</v>
      </c>
      <c r="H11" s="2">
        <v>40</v>
      </c>
      <c r="I11" s="9"/>
      <c r="J11" s="2" t="s">
        <v>235</v>
      </c>
      <c r="K11" s="2" t="s">
        <v>236</v>
      </c>
      <c r="L11" s="9"/>
      <c r="M11" s="9"/>
      <c r="N11" s="9"/>
      <c r="O11" s="2">
        <v>0.13</v>
      </c>
      <c r="P11" s="2" t="s">
        <v>30</v>
      </c>
      <c r="Q11" s="2">
        <v>20</v>
      </c>
      <c r="R11" s="9" t="s">
        <v>185</v>
      </c>
      <c r="S11" s="2"/>
      <c r="T11" s="2"/>
      <c r="U11" s="2"/>
      <c r="V11" s="9"/>
      <c r="W11" s="2"/>
      <c r="X11" s="1"/>
      <c r="Y11" s="1"/>
      <c r="Z11" s="1"/>
      <c r="AA11" s="1"/>
    </row>
    <row r="12" spans="1:27" x14ac:dyDescent="0.25">
      <c r="A12" s="1" t="s">
        <v>26</v>
      </c>
      <c r="B12" s="1" t="s">
        <v>31</v>
      </c>
      <c r="C12">
        <v>15</v>
      </c>
      <c r="D12">
        <v>25</v>
      </c>
      <c r="E12">
        <v>1.5</v>
      </c>
      <c r="F12">
        <v>60</v>
      </c>
      <c r="G12">
        <v>10</v>
      </c>
      <c r="H12" s="8">
        <v>40</v>
      </c>
      <c r="I12" t="s">
        <v>250</v>
      </c>
      <c r="J12" s="5"/>
      <c r="K12" s="5"/>
      <c r="L12" s="5"/>
      <c r="M12" s="5"/>
      <c r="N12" s="5"/>
      <c r="O12">
        <v>0.13</v>
      </c>
      <c r="P12" s="2" t="s">
        <v>32</v>
      </c>
      <c r="Q12" s="8">
        <v>20</v>
      </c>
      <c r="R12" s="9" t="s">
        <v>185</v>
      </c>
      <c r="V12" s="3"/>
      <c r="X12" s="1"/>
      <c r="Y12" s="1"/>
      <c r="Z12" s="1"/>
      <c r="AA12" s="1"/>
    </row>
    <row r="13" spans="1:27" x14ac:dyDescent="0.25">
      <c r="A13" s="1" t="s">
        <v>26</v>
      </c>
      <c r="B13" s="1" t="s">
        <v>31</v>
      </c>
      <c r="C13">
        <v>15</v>
      </c>
      <c r="D13">
        <v>50</v>
      </c>
      <c r="E13">
        <v>1.5</v>
      </c>
      <c r="F13">
        <v>60</v>
      </c>
      <c r="G13">
        <v>10</v>
      </c>
      <c r="H13" s="8">
        <v>40</v>
      </c>
      <c r="I13" t="s">
        <v>250</v>
      </c>
      <c r="J13" s="5"/>
      <c r="K13" s="5"/>
      <c r="L13" s="5"/>
      <c r="M13" s="5"/>
      <c r="N13" s="5"/>
      <c r="O13">
        <v>0.13</v>
      </c>
      <c r="P13" s="2" t="s">
        <v>33</v>
      </c>
      <c r="Q13" s="8">
        <v>20</v>
      </c>
      <c r="R13" s="9" t="s">
        <v>185</v>
      </c>
      <c r="V13" s="3"/>
      <c r="X13" s="1"/>
      <c r="Y13" s="1"/>
      <c r="Z13" s="1"/>
      <c r="AA13" s="1"/>
    </row>
    <row r="14" spans="1:27" x14ac:dyDescent="0.25">
      <c r="A14" s="1" t="s">
        <v>26</v>
      </c>
      <c r="B14" s="1" t="s">
        <v>31</v>
      </c>
      <c r="C14">
        <v>15</v>
      </c>
      <c r="D14">
        <v>100</v>
      </c>
      <c r="E14">
        <v>1.5</v>
      </c>
      <c r="F14">
        <v>60</v>
      </c>
      <c r="G14">
        <v>10</v>
      </c>
      <c r="H14" s="8">
        <v>40</v>
      </c>
      <c r="I14" t="s">
        <v>250</v>
      </c>
      <c r="J14" s="5"/>
      <c r="K14" s="5"/>
      <c r="L14" s="5"/>
      <c r="M14" s="5"/>
      <c r="N14" s="5"/>
      <c r="O14">
        <v>0.13</v>
      </c>
      <c r="P14" s="2" t="s">
        <v>34</v>
      </c>
      <c r="Q14" s="8">
        <v>20</v>
      </c>
      <c r="R14" s="9" t="s">
        <v>185</v>
      </c>
      <c r="V14" s="3"/>
      <c r="X14" s="1"/>
      <c r="Y14" s="1"/>
      <c r="Z14" s="1"/>
      <c r="AA14" s="1"/>
    </row>
    <row r="15" spans="1:27" x14ac:dyDescent="0.25">
      <c r="A15" s="1" t="s">
        <v>26</v>
      </c>
      <c r="B15" s="1" t="s">
        <v>31</v>
      </c>
      <c r="C15">
        <v>15</v>
      </c>
      <c r="D15">
        <v>150</v>
      </c>
      <c r="E15">
        <v>1.5</v>
      </c>
      <c r="F15">
        <v>60</v>
      </c>
      <c r="G15">
        <v>10</v>
      </c>
      <c r="H15" s="8">
        <v>40</v>
      </c>
      <c r="I15" t="s">
        <v>250</v>
      </c>
      <c r="J15" s="5"/>
      <c r="K15" s="5"/>
      <c r="L15" s="5"/>
      <c r="M15" s="5"/>
      <c r="N15" s="5"/>
      <c r="O15">
        <v>0.13</v>
      </c>
      <c r="P15" s="2" t="s">
        <v>35</v>
      </c>
      <c r="Q15" s="8">
        <v>20</v>
      </c>
      <c r="R15" s="9" t="s">
        <v>185</v>
      </c>
      <c r="V15" s="3"/>
      <c r="X15" s="1"/>
      <c r="Y15" s="1"/>
      <c r="Z15" s="1"/>
      <c r="AA15" s="1"/>
    </row>
    <row r="16" spans="1:27" x14ac:dyDescent="0.25">
      <c r="A16" s="2" t="s">
        <v>15</v>
      </c>
      <c r="B16" s="2" t="s">
        <v>16</v>
      </c>
      <c r="C16" s="2">
        <v>40</v>
      </c>
      <c r="D16" s="2">
        <v>24</v>
      </c>
      <c r="E16" s="2">
        <v>4</v>
      </c>
      <c r="F16" s="2">
        <v>60</v>
      </c>
      <c r="G16" s="2">
        <v>125</v>
      </c>
      <c r="H16" s="2">
        <v>180</v>
      </c>
      <c r="I16" s="2" t="s">
        <v>250</v>
      </c>
      <c r="J16" s="9"/>
      <c r="K16" s="9"/>
      <c r="L16" s="9"/>
      <c r="M16" s="2" t="s">
        <v>36</v>
      </c>
      <c r="N16" s="2">
        <v>503550</v>
      </c>
      <c r="O16" s="2">
        <v>0.31</v>
      </c>
      <c r="P16" s="2" t="s">
        <v>37</v>
      </c>
      <c r="Q16" s="2">
        <v>180</v>
      </c>
      <c r="R16" s="9" t="s">
        <v>186</v>
      </c>
      <c r="S16" s="2"/>
      <c r="T16" s="2"/>
      <c r="U16" s="2"/>
      <c r="V16" s="9"/>
      <c r="W16" s="2"/>
      <c r="X16" s="1"/>
      <c r="Y16" s="1"/>
      <c r="Z16" s="1"/>
      <c r="AA16" s="1"/>
    </row>
    <row r="17" spans="1:27" x14ac:dyDescent="0.25">
      <c r="A17" s="2" t="s">
        <v>15</v>
      </c>
      <c r="B17" s="2" t="s">
        <v>16</v>
      </c>
      <c r="C17" s="2">
        <v>40</v>
      </c>
      <c r="D17" s="2">
        <v>49</v>
      </c>
      <c r="E17" s="2">
        <v>4</v>
      </c>
      <c r="F17" s="2">
        <v>60</v>
      </c>
      <c r="G17" s="2">
        <v>125</v>
      </c>
      <c r="H17" s="2">
        <v>180</v>
      </c>
      <c r="I17" s="2" t="s">
        <v>250</v>
      </c>
      <c r="J17" s="9"/>
      <c r="K17" s="9"/>
      <c r="L17" s="9"/>
      <c r="M17" s="2" t="s">
        <v>38</v>
      </c>
      <c r="N17" s="2">
        <v>503550</v>
      </c>
      <c r="O17" s="2">
        <v>0.31</v>
      </c>
      <c r="P17" s="2" t="s">
        <v>39</v>
      </c>
      <c r="Q17" s="2">
        <v>180</v>
      </c>
      <c r="R17" s="9" t="s">
        <v>186</v>
      </c>
      <c r="S17" s="2"/>
      <c r="T17" s="2"/>
      <c r="U17" s="2"/>
      <c r="V17" s="9"/>
      <c r="W17" s="2"/>
      <c r="X17" s="1"/>
      <c r="Y17" s="1"/>
      <c r="Z17" s="1"/>
      <c r="AA17" s="1"/>
    </row>
    <row r="18" spans="1:27" x14ac:dyDescent="0.25">
      <c r="A18" s="2" t="s">
        <v>15</v>
      </c>
      <c r="B18" s="2" t="s">
        <v>16</v>
      </c>
      <c r="C18" s="2">
        <v>40</v>
      </c>
      <c r="D18" s="2">
        <v>99</v>
      </c>
      <c r="E18" s="2">
        <v>4</v>
      </c>
      <c r="F18" s="2">
        <v>60</v>
      </c>
      <c r="G18" s="2">
        <v>125</v>
      </c>
      <c r="H18" s="2">
        <v>180</v>
      </c>
      <c r="I18" s="2" t="s">
        <v>250</v>
      </c>
      <c r="J18" s="9"/>
      <c r="K18" s="9"/>
      <c r="L18" s="9"/>
      <c r="M18" s="2" t="s">
        <v>40</v>
      </c>
      <c r="N18" s="2">
        <v>503550</v>
      </c>
      <c r="O18" s="2">
        <v>0.31</v>
      </c>
      <c r="P18" s="2" t="s">
        <v>41</v>
      </c>
      <c r="Q18" s="2">
        <v>180</v>
      </c>
      <c r="R18" s="9" t="s">
        <v>186</v>
      </c>
      <c r="S18" s="2"/>
      <c r="T18" s="2"/>
      <c r="U18" s="2"/>
      <c r="V18" s="9"/>
      <c r="W18" s="2"/>
      <c r="X18" s="1"/>
      <c r="Y18" s="1"/>
      <c r="Z18" s="1"/>
      <c r="AA18" s="1"/>
    </row>
    <row r="19" spans="1:27" x14ac:dyDescent="0.25">
      <c r="A19" s="2" t="s">
        <v>15</v>
      </c>
      <c r="B19" s="2" t="s">
        <v>16</v>
      </c>
      <c r="C19" s="2">
        <v>40</v>
      </c>
      <c r="D19" s="2">
        <v>124</v>
      </c>
      <c r="E19" s="2">
        <v>4</v>
      </c>
      <c r="F19" s="2">
        <v>60</v>
      </c>
      <c r="G19" s="2">
        <v>125</v>
      </c>
      <c r="H19" s="2">
        <v>180</v>
      </c>
      <c r="I19" s="2" t="s">
        <v>250</v>
      </c>
      <c r="J19" s="9"/>
      <c r="K19" s="9"/>
      <c r="L19" s="9"/>
      <c r="M19" s="2" t="s">
        <v>42</v>
      </c>
      <c r="N19" s="2">
        <v>503550</v>
      </c>
      <c r="O19" s="2">
        <v>0.31</v>
      </c>
      <c r="P19" s="2" t="s">
        <v>43</v>
      </c>
      <c r="Q19" s="2">
        <v>180</v>
      </c>
      <c r="R19" s="9" t="s">
        <v>186</v>
      </c>
      <c r="S19" s="2"/>
      <c r="T19" s="2"/>
      <c r="U19" s="2"/>
      <c r="V19" s="9"/>
      <c r="W19" s="2"/>
      <c r="X19" s="1"/>
      <c r="Y19" s="1"/>
      <c r="Z19" s="1"/>
      <c r="AA19" s="1"/>
    </row>
    <row r="20" spans="1:27" x14ac:dyDescent="0.25">
      <c r="A20" s="1" t="s">
        <v>15</v>
      </c>
      <c r="B20" s="1" t="s">
        <v>22</v>
      </c>
      <c r="C20">
        <v>40</v>
      </c>
      <c r="D20">
        <v>24</v>
      </c>
      <c r="E20">
        <v>4</v>
      </c>
      <c r="F20">
        <v>60</v>
      </c>
      <c r="G20">
        <v>125</v>
      </c>
      <c r="H20" s="8">
        <v>180</v>
      </c>
      <c r="I20" t="s">
        <v>250</v>
      </c>
      <c r="J20" s="5"/>
      <c r="K20" s="5"/>
      <c r="L20" s="5"/>
      <c r="M20" t="s">
        <v>36</v>
      </c>
      <c r="N20">
        <v>503550</v>
      </c>
      <c r="O20">
        <v>0.31</v>
      </c>
      <c r="P20" s="4" t="s">
        <v>44</v>
      </c>
      <c r="Q20" s="8">
        <v>180</v>
      </c>
      <c r="R20" s="9" t="s">
        <v>186</v>
      </c>
      <c r="V20" s="3"/>
      <c r="X20" s="1"/>
      <c r="Y20" s="1"/>
      <c r="Z20" s="1"/>
      <c r="AA20" s="1"/>
    </row>
    <row r="21" spans="1:27" x14ac:dyDescent="0.25">
      <c r="A21" s="1" t="s">
        <v>15</v>
      </c>
      <c r="B21" s="1" t="s">
        <v>22</v>
      </c>
      <c r="C21">
        <v>40</v>
      </c>
      <c r="D21">
        <v>49</v>
      </c>
      <c r="E21">
        <v>4</v>
      </c>
      <c r="F21">
        <v>60</v>
      </c>
      <c r="G21">
        <v>125</v>
      </c>
      <c r="H21" s="8">
        <v>180</v>
      </c>
      <c r="I21" t="s">
        <v>250</v>
      </c>
      <c r="J21" s="5"/>
      <c r="K21" s="5"/>
      <c r="L21" s="5"/>
      <c r="M21" t="s">
        <v>38</v>
      </c>
      <c r="N21">
        <v>503550</v>
      </c>
      <c r="O21">
        <v>0.31</v>
      </c>
      <c r="P21" s="4" t="s">
        <v>45</v>
      </c>
      <c r="Q21" s="8">
        <v>180</v>
      </c>
      <c r="R21" s="9" t="s">
        <v>186</v>
      </c>
      <c r="V21" s="3"/>
      <c r="X21" s="1"/>
      <c r="Y21" s="1"/>
      <c r="Z21" s="1"/>
      <c r="AA21" s="1"/>
    </row>
    <row r="22" spans="1:27" x14ac:dyDescent="0.25">
      <c r="A22" s="1" t="s">
        <v>15</v>
      </c>
      <c r="B22" s="1" t="s">
        <v>22</v>
      </c>
      <c r="C22">
        <v>40</v>
      </c>
      <c r="D22">
        <v>99</v>
      </c>
      <c r="E22">
        <v>4</v>
      </c>
      <c r="F22">
        <v>60</v>
      </c>
      <c r="G22">
        <v>125</v>
      </c>
      <c r="H22" s="8">
        <v>180</v>
      </c>
      <c r="I22" t="s">
        <v>250</v>
      </c>
      <c r="J22" s="5"/>
      <c r="K22" s="5"/>
      <c r="L22" s="5"/>
      <c r="M22" t="s">
        <v>40</v>
      </c>
      <c r="N22">
        <v>503550</v>
      </c>
      <c r="O22">
        <v>0.31</v>
      </c>
      <c r="P22" s="4" t="s">
        <v>46</v>
      </c>
      <c r="Q22" s="8">
        <v>180</v>
      </c>
      <c r="R22" s="9" t="s">
        <v>186</v>
      </c>
      <c r="V22" s="3"/>
      <c r="X22" s="1"/>
      <c r="Y22" s="1"/>
      <c r="Z22" s="1"/>
      <c r="AA22" s="1"/>
    </row>
    <row r="23" spans="1:27" x14ac:dyDescent="0.25">
      <c r="A23" s="1" t="s">
        <v>15</v>
      </c>
      <c r="B23" s="1" t="s">
        <v>22</v>
      </c>
      <c r="C23">
        <v>40</v>
      </c>
      <c r="D23">
        <v>124</v>
      </c>
      <c r="E23">
        <v>4</v>
      </c>
      <c r="F23">
        <v>60</v>
      </c>
      <c r="G23">
        <v>125</v>
      </c>
      <c r="H23" s="8">
        <v>180</v>
      </c>
      <c r="I23" t="s">
        <v>250</v>
      </c>
      <c r="J23" s="5"/>
      <c r="K23" s="5"/>
      <c r="L23" s="5"/>
      <c r="M23" t="s">
        <v>42</v>
      </c>
      <c r="N23">
        <v>503550</v>
      </c>
      <c r="O23">
        <v>0.31</v>
      </c>
      <c r="P23" s="4" t="s">
        <v>47</v>
      </c>
      <c r="Q23" s="8">
        <v>180</v>
      </c>
      <c r="R23" s="9" t="s">
        <v>186</v>
      </c>
      <c r="V23" s="3"/>
      <c r="X23" s="1"/>
      <c r="Y23" s="1"/>
      <c r="Z23" s="1"/>
      <c r="AA23" s="1"/>
    </row>
    <row r="24" spans="1:27" x14ac:dyDescent="0.25">
      <c r="A24" s="2" t="s">
        <v>48</v>
      </c>
      <c r="B24" s="2" t="s">
        <v>16</v>
      </c>
      <c r="C24" s="2">
        <v>40</v>
      </c>
      <c r="D24" s="2">
        <v>49</v>
      </c>
      <c r="E24" s="2">
        <v>4</v>
      </c>
      <c r="F24" s="2">
        <v>60</v>
      </c>
      <c r="G24" s="2">
        <v>125</v>
      </c>
      <c r="H24" s="2">
        <v>180</v>
      </c>
      <c r="I24" s="2" t="s">
        <v>250</v>
      </c>
      <c r="J24" s="9"/>
      <c r="K24" s="9"/>
      <c r="L24" s="2">
        <v>2018393</v>
      </c>
      <c r="M24" s="9"/>
      <c r="N24" s="9"/>
      <c r="O24" s="2">
        <v>0.31</v>
      </c>
      <c r="P24" s="2" t="s">
        <v>49</v>
      </c>
      <c r="Q24" s="2">
        <v>180</v>
      </c>
      <c r="R24" s="9" t="s">
        <v>186</v>
      </c>
      <c r="S24" s="2"/>
      <c r="T24" s="2"/>
      <c r="U24" s="2"/>
      <c r="V24" s="9"/>
      <c r="W24" s="2"/>
      <c r="X24" s="1"/>
      <c r="Y24" s="1"/>
      <c r="Z24" s="1"/>
      <c r="AA24" s="1"/>
    </row>
    <row r="25" spans="1:27" x14ac:dyDescent="0.25">
      <c r="A25" s="2" t="s">
        <v>48</v>
      </c>
      <c r="B25" s="2" t="s">
        <v>16</v>
      </c>
      <c r="C25" s="2">
        <v>40</v>
      </c>
      <c r="D25" s="2">
        <v>99</v>
      </c>
      <c r="E25" s="2">
        <v>4</v>
      </c>
      <c r="F25" s="2">
        <v>60</v>
      </c>
      <c r="G25" s="2">
        <v>125</v>
      </c>
      <c r="H25" s="2">
        <v>180</v>
      </c>
      <c r="I25" s="2" t="s">
        <v>250</v>
      </c>
      <c r="J25" s="9"/>
      <c r="K25" s="9"/>
      <c r="L25" s="2">
        <v>2018393</v>
      </c>
      <c r="M25" s="9"/>
      <c r="N25" s="9"/>
      <c r="O25" s="2">
        <v>0.31</v>
      </c>
      <c r="P25" s="2" t="s">
        <v>50</v>
      </c>
      <c r="Q25" s="2">
        <v>180</v>
      </c>
      <c r="R25" s="9" t="s">
        <v>186</v>
      </c>
      <c r="S25" s="2"/>
      <c r="T25" s="2"/>
      <c r="U25" s="2"/>
      <c r="V25" s="9"/>
      <c r="W25" s="2"/>
      <c r="X25" s="1"/>
      <c r="Y25" s="1"/>
      <c r="Z25" s="1"/>
      <c r="AA25" s="1"/>
    </row>
    <row r="26" spans="1:27" x14ac:dyDescent="0.25">
      <c r="A26" s="1" t="s">
        <v>48</v>
      </c>
      <c r="B26" s="1" t="s">
        <v>22</v>
      </c>
      <c r="C26">
        <v>40</v>
      </c>
      <c r="D26">
        <v>49</v>
      </c>
      <c r="E26">
        <v>4</v>
      </c>
      <c r="F26">
        <v>60</v>
      </c>
      <c r="G26">
        <v>125</v>
      </c>
      <c r="H26" s="8">
        <v>180</v>
      </c>
      <c r="I26" t="s">
        <v>250</v>
      </c>
      <c r="J26" s="5"/>
      <c r="K26" s="5"/>
      <c r="L26" s="2">
        <v>2018393</v>
      </c>
      <c r="M26" s="5"/>
      <c r="N26" s="5"/>
      <c r="O26">
        <v>0.31</v>
      </c>
      <c r="P26" s="4" t="s">
        <v>51</v>
      </c>
      <c r="Q26" s="8">
        <v>180</v>
      </c>
      <c r="R26" s="9" t="s">
        <v>186</v>
      </c>
      <c r="V26" s="3"/>
      <c r="X26" s="1"/>
      <c r="Y26" s="1"/>
      <c r="Z26" s="1"/>
      <c r="AA26" s="1"/>
    </row>
    <row r="27" spans="1:27" x14ac:dyDescent="0.25">
      <c r="A27" s="1" t="s">
        <v>48</v>
      </c>
      <c r="B27" s="1" t="s">
        <v>22</v>
      </c>
      <c r="C27">
        <v>40</v>
      </c>
      <c r="D27">
        <v>99</v>
      </c>
      <c r="E27">
        <v>4</v>
      </c>
      <c r="F27">
        <v>60</v>
      </c>
      <c r="G27">
        <v>125</v>
      </c>
      <c r="H27" s="8">
        <v>180</v>
      </c>
      <c r="I27" t="s">
        <v>250</v>
      </c>
      <c r="J27" s="5"/>
      <c r="K27" s="5"/>
      <c r="L27" s="2">
        <v>2018393</v>
      </c>
      <c r="M27" s="5"/>
      <c r="N27" s="5"/>
      <c r="O27">
        <v>0.31</v>
      </c>
      <c r="P27" s="4" t="s">
        <v>52</v>
      </c>
      <c r="Q27" s="8">
        <v>180</v>
      </c>
      <c r="R27" s="9" t="s">
        <v>186</v>
      </c>
      <c r="V27" s="3"/>
      <c r="X27" s="1"/>
      <c r="Y27" s="1"/>
      <c r="Z27" s="1"/>
      <c r="AA27" s="1"/>
    </row>
    <row r="28" spans="1:27" x14ac:dyDescent="0.25">
      <c r="A28" s="2" t="s">
        <v>26</v>
      </c>
      <c r="B28" s="2" t="s">
        <v>16</v>
      </c>
      <c r="C28" s="2">
        <v>40</v>
      </c>
      <c r="D28" s="2">
        <v>25</v>
      </c>
      <c r="E28" s="2">
        <v>4</v>
      </c>
      <c r="F28" s="2">
        <v>60</v>
      </c>
      <c r="G28" s="2">
        <v>10</v>
      </c>
      <c r="H28" s="2">
        <v>40</v>
      </c>
      <c r="I28" s="9"/>
      <c r="J28" s="2" t="s">
        <v>237</v>
      </c>
      <c r="K28" s="2" t="s">
        <v>238</v>
      </c>
      <c r="L28" s="9"/>
      <c r="M28" s="9"/>
      <c r="N28" s="9"/>
      <c r="O28" s="2">
        <v>0.31</v>
      </c>
      <c r="P28" s="2" t="s">
        <v>53</v>
      </c>
      <c r="Q28" s="2">
        <v>20</v>
      </c>
      <c r="R28" s="9" t="s">
        <v>186</v>
      </c>
      <c r="S28" s="2"/>
      <c r="T28" s="2"/>
      <c r="U28" s="2"/>
      <c r="V28" s="9"/>
      <c r="W28" s="2"/>
      <c r="X28" s="1"/>
      <c r="Y28" s="1"/>
      <c r="Z28" s="1"/>
      <c r="AA28" s="1"/>
    </row>
    <row r="29" spans="1:27" x14ac:dyDescent="0.25">
      <c r="A29" s="2" t="s">
        <v>26</v>
      </c>
      <c r="B29" s="2" t="s">
        <v>16</v>
      </c>
      <c r="C29" s="2">
        <v>40</v>
      </c>
      <c r="D29" s="2">
        <v>50</v>
      </c>
      <c r="E29" s="2">
        <v>4</v>
      </c>
      <c r="F29" s="2">
        <v>60</v>
      </c>
      <c r="G29" s="2">
        <v>10</v>
      </c>
      <c r="H29" s="2">
        <v>40</v>
      </c>
      <c r="I29" s="9"/>
      <c r="J29" s="2" t="s">
        <v>237</v>
      </c>
      <c r="K29" s="2" t="s">
        <v>238</v>
      </c>
      <c r="L29" s="9"/>
      <c r="M29" s="9"/>
      <c r="N29" s="9"/>
      <c r="O29" s="2">
        <v>0.31</v>
      </c>
      <c r="P29" s="2" t="s">
        <v>54</v>
      </c>
      <c r="Q29" s="2">
        <v>20</v>
      </c>
      <c r="R29" s="9" t="s">
        <v>186</v>
      </c>
      <c r="S29" s="2"/>
      <c r="T29" s="2"/>
      <c r="U29" s="2"/>
      <c r="V29" s="9"/>
      <c r="W29" s="2"/>
      <c r="X29" s="1"/>
      <c r="Y29" s="1"/>
      <c r="Z29" s="1"/>
      <c r="AA29" s="1"/>
    </row>
    <row r="30" spans="1:27" x14ac:dyDescent="0.25">
      <c r="A30" s="2" t="s">
        <v>26</v>
      </c>
      <c r="B30" s="2" t="s">
        <v>16</v>
      </c>
      <c r="C30" s="2">
        <v>40</v>
      </c>
      <c r="D30" s="2">
        <v>100</v>
      </c>
      <c r="E30" s="2">
        <v>4</v>
      </c>
      <c r="F30" s="2">
        <v>60</v>
      </c>
      <c r="G30" s="2">
        <v>10</v>
      </c>
      <c r="H30" s="2">
        <v>40</v>
      </c>
      <c r="I30" s="9"/>
      <c r="J30" s="2" t="s">
        <v>237</v>
      </c>
      <c r="K30" s="2" t="s">
        <v>238</v>
      </c>
      <c r="L30" s="9"/>
      <c r="M30" s="9"/>
      <c r="N30" s="9"/>
      <c r="O30" s="2">
        <v>0.31</v>
      </c>
      <c r="P30" s="2" t="s">
        <v>55</v>
      </c>
      <c r="Q30" s="2">
        <v>20</v>
      </c>
      <c r="R30" s="9" t="s">
        <v>186</v>
      </c>
      <c r="S30" s="2"/>
      <c r="T30" s="2"/>
      <c r="U30" s="2"/>
      <c r="V30" s="9"/>
      <c r="W30" s="2"/>
      <c r="X30" s="1"/>
      <c r="Y30" s="1"/>
      <c r="Z30" s="1"/>
      <c r="AA30" s="1"/>
    </row>
    <row r="31" spans="1:27" x14ac:dyDescent="0.25">
      <c r="A31" s="2" t="s">
        <v>26</v>
      </c>
      <c r="B31" s="2" t="s">
        <v>16</v>
      </c>
      <c r="C31" s="2">
        <v>40</v>
      </c>
      <c r="D31" s="2">
        <v>150</v>
      </c>
      <c r="E31" s="2">
        <v>4</v>
      </c>
      <c r="F31" s="2">
        <v>60</v>
      </c>
      <c r="G31" s="2">
        <v>10</v>
      </c>
      <c r="H31" s="2">
        <v>40</v>
      </c>
      <c r="I31" s="9"/>
      <c r="J31" s="2" t="s">
        <v>237</v>
      </c>
      <c r="K31" s="2" t="s">
        <v>238</v>
      </c>
      <c r="L31" s="9"/>
      <c r="M31" s="9"/>
      <c r="N31" s="9"/>
      <c r="O31" s="2">
        <v>0.31</v>
      </c>
      <c r="P31" s="2" t="s">
        <v>56</v>
      </c>
      <c r="Q31" s="2">
        <v>20</v>
      </c>
      <c r="R31" s="9" t="s">
        <v>186</v>
      </c>
      <c r="S31" s="2"/>
      <c r="T31" s="2"/>
      <c r="U31" s="2"/>
      <c r="V31" s="9"/>
      <c r="W31" s="2"/>
      <c r="X31" s="1"/>
      <c r="Y31" s="1"/>
      <c r="Z31" s="1"/>
      <c r="AA31" s="1"/>
    </row>
    <row r="32" spans="1:27" x14ac:dyDescent="0.25">
      <c r="A32" s="1" t="s">
        <v>26</v>
      </c>
      <c r="B32" s="1" t="s">
        <v>31</v>
      </c>
      <c r="C32">
        <v>40</v>
      </c>
      <c r="D32">
        <v>25</v>
      </c>
      <c r="E32">
        <v>4</v>
      </c>
      <c r="F32">
        <v>60</v>
      </c>
      <c r="G32">
        <v>10</v>
      </c>
      <c r="H32" s="8">
        <v>40</v>
      </c>
      <c r="I32" t="s">
        <v>250</v>
      </c>
      <c r="J32" s="5"/>
      <c r="K32" s="5"/>
      <c r="L32" s="5"/>
      <c r="M32" s="5"/>
      <c r="N32" s="5"/>
      <c r="O32">
        <v>0.31</v>
      </c>
      <c r="P32" s="4" t="s">
        <v>57</v>
      </c>
      <c r="Q32" s="8">
        <v>20</v>
      </c>
      <c r="R32" s="9" t="s">
        <v>186</v>
      </c>
      <c r="V32" s="3"/>
      <c r="X32" s="1"/>
      <c r="Y32" s="1"/>
      <c r="Z32" s="1"/>
      <c r="AA32" s="1"/>
    </row>
    <row r="33" spans="1:27" x14ac:dyDescent="0.25">
      <c r="A33" s="1" t="s">
        <v>26</v>
      </c>
      <c r="B33" s="1" t="s">
        <v>31</v>
      </c>
      <c r="C33">
        <v>40</v>
      </c>
      <c r="D33">
        <v>50</v>
      </c>
      <c r="E33">
        <v>4</v>
      </c>
      <c r="F33">
        <v>60</v>
      </c>
      <c r="G33">
        <v>10</v>
      </c>
      <c r="H33" s="8">
        <v>40</v>
      </c>
      <c r="I33" t="s">
        <v>250</v>
      </c>
      <c r="J33" s="5"/>
      <c r="K33" s="5"/>
      <c r="L33" s="5"/>
      <c r="M33" s="5"/>
      <c r="N33" s="5"/>
      <c r="O33">
        <v>0.31</v>
      </c>
      <c r="P33" s="4" t="s">
        <v>58</v>
      </c>
      <c r="Q33" s="8">
        <v>20</v>
      </c>
      <c r="R33" s="9" t="s">
        <v>186</v>
      </c>
      <c r="V33" s="3"/>
      <c r="X33" s="1"/>
      <c r="Y33" s="1"/>
      <c r="Z33" s="1"/>
      <c r="AA33" s="1"/>
    </row>
    <row r="34" spans="1:27" x14ac:dyDescent="0.25">
      <c r="A34" s="1" t="s">
        <v>26</v>
      </c>
      <c r="B34" s="1" t="s">
        <v>31</v>
      </c>
      <c r="C34">
        <v>40</v>
      </c>
      <c r="D34">
        <v>100</v>
      </c>
      <c r="E34">
        <v>4</v>
      </c>
      <c r="F34">
        <v>60</v>
      </c>
      <c r="G34">
        <v>10</v>
      </c>
      <c r="H34" s="8">
        <v>40</v>
      </c>
      <c r="I34" t="s">
        <v>250</v>
      </c>
      <c r="J34" s="5"/>
      <c r="K34" s="5"/>
      <c r="L34" s="5"/>
      <c r="M34" s="5"/>
      <c r="N34" s="5"/>
      <c r="O34">
        <v>0.31</v>
      </c>
      <c r="P34" s="4" t="s">
        <v>59</v>
      </c>
      <c r="Q34" s="8">
        <v>20</v>
      </c>
      <c r="R34" s="9" t="s">
        <v>186</v>
      </c>
      <c r="V34" s="3"/>
      <c r="X34" s="1"/>
      <c r="Y34" s="1"/>
      <c r="Z34" s="1"/>
      <c r="AA34" s="1"/>
    </row>
    <row r="35" spans="1:27" x14ac:dyDescent="0.25">
      <c r="A35" s="1" t="s">
        <v>26</v>
      </c>
      <c r="B35" s="1" t="s">
        <v>31</v>
      </c>
      <c r="C35">
        <v>40</v>
      </c>
      <c r="D35">
        <v>150</v>
      </c>
      <c r="E35">
        <v>4</v>
      </c>
      <c r="F35">
        <v>60</v>
      </c>
      <c r="G35">
        <v>10</v>
      </c>
      <c r="H35" s="8">
        <v>40</v>
      </c>
      <c r="I35" t="s">
        <v>250</v>
      </c>
      <c r="J35" s="5"/>
      <c r="K35" s="5"/>
      <c r="L35" s="5"/>
      <c r="M35" s="5"/>
      <c r="N35" s="5"/>
      <c r="O35">
        <v>0.31</v>
      </c>
      <c r="P35" s="4" t="s">
        <v>60</v>
      </c>
      <c r="Q35" s="8">
        <v>20</v>
      </c>
      <c r="R35" s="9" t="s">
        <v>186</v>
      </c>
      <c r="V35" s="3"/>
      <c r="X35" s="1"/>
      <c r="Y35" s="1"/>
      <c r="Z35" s="1"/>
      <c r="AA35" s="1"/>
    </row>
    <row r="36" spans="1:27" x14ac:dyDescent="0.25">
      <c r="A36" s="2" t="s">
        <v>15</v>
      </c>
      <c r="B36" s="2" t="s">
        <v>16</v>
      </c>
      <c r="C36" s="2">
        <v>60</v>
      </c>
      <c r="D36" s="2">
        <v>24</v>
      </c>
      <c r="E36" s="2">
        <v>7</v>
      </c>
      <c r="F36" s="2">
        <v>60</v>
      </c>
      <c r="G36" s="2">
        <v>125</v>
      </c>
      <c r="H36" s="2">
        <v>180</v>
      </c>
      <c r="I36" s="2" t="s">
        <v>250</v>
      </c>
      <c r="J36" s="9"/>
      <c r="K36" s="9"/>
      <c r="L36" s="9"/>
      <c r="M36" s="2" t="s">
        <v>61</v>
      </c>
      <c r="N36" s="2">
        <v>503550</v>
      </c>
      <c r="O36" s="2">
        <v>0.5</v>
      </c>
      <c r="P36" s="2" t="s">
        <v>62</v>
      </c>
      <c r="Q36" s="2">
        <v>180</v>
      </c>
      <c r="R36" s="9" t="s">
        <v>186</v>
      </c>
      <c r="S36" s="2"/>
      <c r="T36" s="2"/>
      <c r="U36" s="2"/>
      <c r="V36" s="9"/>
      <c r="W36" s="2"/>
      <c r="X36" s="1"/>
      <c r="Y36" s="1"/>
      <c r="Z36" s="1"/>
      <c r="AA36" s="1"/>
    </row>
    <row r="37" spans="1:27" x14ac:dyDescent="0.25">
      <c r="A37" s="2" t="s">
        <v>15</v>
      </c>
      <c r="B37" s="2" t="s">
        <v>16</v>
      </c>
      <c r="C37" s="2">
        <v>60</v>
      </c>
      <c r="D37" s="2">
        <v>49</v>
      </c>
      <c r="E37" s="2">
        <v>7</v>
      </c>
      <c r="F37" s="2">
        <v>60</v>
      </c>
      <c r="G37" s="2">
        <v>125</v>
      </c>
      <c r="H37" s="2">
        <v>180</v>
      </c>
      <c r="I37" s="2" t="s">
        <v>250</v>
      </c>
      <c r="J37" s="9"/>
      <c r="K37" s="9"/>
      <c r="L37" s="9"/>
      <c r="M37" s="2" t="s">
        <v>63</v>
      </c>
      <c r="N37" s="2">
        <v>503550</v>
      </c>
      <c r="O37" s="2">
        <v>0.5</v>
      </c>
      <c r="P37" s="2" t="s">
        <v>64</v>
      </c>
      <c r="Q37" s="2">
        <v>180</v>
      </c>
      <c r="R37" s="9" t="s">
        <v>186</v>
      </c>
      <c r="S37" s="2"/>
      <c r="T37" s="2"/>
      <c r="U37" s="2"/>
      <c r="V37" s="9"/>
      <c r="W37" s="2"/>
      <c r="X37" s="1"/>
      <c r="Y37" s="1"/>
      <c r="Z37" s="1"/>
      <c r="AA37" s="1"/>
    </row>
    <row r="38" spans="1:27" x14ac:dyDescent="0.25">
      <c r="A38" s="2" t="s">
        <v>15</v>
      </c>
      <c r="B38" s="2" t="s">
        <v>16</v>
      </c>
      <c r="C38" s="2">
        <v>60</v>
      </c>
      <c r="D38" s="2">
        <v>99</v>
      </c>
      <c r="E38" s="2">
        <v>7</v>
      </c>
      <c r="F38" s="2">
        <v>60</v>
      </c>
      <c r="G38" s="2">
        <v>125</v>
      </c>
      <c r="H38" s="2">
        <v>180</v>
      </c>
      <c r="I38" s="2" t="s">
        <v>250</v>
      </c>
      <c r="J38" s="9"/>
      <c r="K38" s="9"/>
      <c r="L38" s="9"/>
      <c r="M38" s="2" t="s">
        <v>65</v>
      </c>
      <c r="N38" s="2">
        <v>503550</v>
      </c>
      <c r="O38" s="2">
        <v>0.5</v>
      </c>
      <c r="P38" s="2" t="s">
        <v>66</v>
      </c>
      <c r="Q38" s="2">
        <v>180</v>
      </c>
      <c r="R38" s="9" t="s">
        <v>186</v>
      </c>
      <c r="S38" s="2"/>
      <c r="T38" s="2"/>
      <c r="U38" s="2"/>
      <c r="V38" s="9"/>
      <c r="W38" s="2"/>
      <c r="X38" s="1"/>
      <c r="Y38" s="1"/>
      <c r="Z38" s="1"/>
      <c r="AA38" s="1"/>
    </row>
    <row r="39" spans="1:27" x14ac:dyDescent="0.25">
      <c r="A39" s="1" t="s">
        <v>15</v>
      </c>
      <c r="B39" s="1" t="s">
        <v>22</v>
      </c>
      <c r="C39">
        <v>60</v>
      </c>
      <c r="D39">
        <v>24</v>
      </c>
      <c r="E39">
        <v>7</v>
      </c>
      <c r="F39">
        <v>60</v>
      </c>
      <c r="G39">
        <v>125</v>
      </c>
      <c r="H39" s="8">
        <v>180</v>
      </c>
      <c r="I39" t="s">
        <v>250</v>
      </c>
      <c r="J39" s="5"/>
      <c r="K39" s="5"/>
      <c r="L39" s="5"/>
      <c r="M39" t="s">
        <v>61</v>
      </c>
      <c r="N39">
        <v>503550</v>
      </c>
      <c r="O39">
        <v>0.5</v>
      </c>
      <c r="P39" s="2" t="s">
        <v>67</v>
      </c>
      <c r="Q39" s="8">
        <v>180</v>
      </c>
      <c r="R39" s="9" t="s">
        <v>186</v>
      </c>
      <c r="V39" s="3"/>
      <c r="X39" s="1"/>
      <c r="Y39" s="1"/>
      <c r="Z39" s="1"/>
      <c r="AA39" s="1"/>
    </row>
    <row r="40" spans="1:27" x14ac:dyDescent="0.25">
      <c r="A40" s="1" t="s">
        <v>15</v>
      </c>
      <c r="B40" s="1" t="s">
        <v>22</v>
      </c>
      <c r="C40">
        <v>60</v>
      </c>
      <c r="D40">
        <v>49</v>
      </c>
      <c r="E40">
        <v>7</v>
      </c>
      <c r="F40">
        <v>60</v>
      </c>
      <c r="G40">
        <v>125</v>
      </c>
      <c r="H40" s="8">
        <v>180</v>
      </c>
      <c r="I40" t="s">
        <v>250</v>
      </c>
      <c r="J40" s="5"/>
      <c r="K40" s="5"/>
      <c r="L40" s="5"/>
      <c r="M40" t="s">
        <v>63</v>
      </c>
      <c r="N40">
        <v>503550</v>
      </c>
      <c r="O40">
        <v>0.5</v>
      </c>
      <c r="P40" s="2" t="s">
        <v>68</v>
      </c>
      <c r="Q40" s="8">
        <v>180</v>
      </c>
      <c r="R40" s="9" t="s">
        <v>186</v>
      </c>
      <c r="V40" s="3"/>
      <c r="X40" s="1"/>
      <c r="Y40" s="1"/>
      <c r="Z40" s="1"/>
      <c r="AA40" s="1"/>
    </row>
    <row r="41" spans="1:27" x14ac:dyDescent="0.25">
      <c r="A41" s="1" t="s">
        <v>15</v>
      </c>
      <c r="B41" s="1" t="s">
        <v>22</v>
      </c>
      <c r="C41">
        <v>60</v>
      </c>
      <c r="D41">
        <v>99</v>
      </c>
      <c r="E41">
        <v>7</v>
      </c>
      <c r="F41">
        <v>60</v>
      </c>
      <c r="G41">
        <v>125</v>
      </c>
      <c r="H41" s="8">
        <v>180</v>
      </c>
      <c r="I41" t="s">
        <v>250</v>
      </c>
      <c r="J41" s="5"/>
      <c r="K41" s="5"/>
      <c r="L41" s="5"/>
      <c r="M41" t="s">
        <v>65</v>
      </c>
      <c r="N41">
        <v>503550</v>
      </c>
      <c r="O41">
        <v>0.5</v>
      </c>
      <c r="P41" s="2" t="s">
        <v>69</v>
      </c>
      <c r="Q41" s="8">
        <v>180</v>
      </c>
      <c r="R41" s="9" t="s">
        <v>186</v>
      </c>
      <c r="V41" s="3"/>
      <c r="X41" s="1"/>
      <c r="Y41" s="1"/>
      <c r="Z41" s="1"/>
      <c r="AA41" s="1"/>
    </row>
    <row r="42" spans="1:27" x14ac:dyDescent="0.25">
      <c r="A42" s="2" t="s">
        <v>26</v>
      </c>
      <c r="B42" s="2" t="s">
        <v>16</v>
      </c>
      <c r="C42" s="2">
        <v>60</v>
      </c>
      <c r="D42" s="2">
        <v>25</v>
      </c>
      <c r="E42" s="2">
        <v>6</v>
      </c>
      <c r="F42" s="2">
        <v>60</v>
      </c>
      <c r="G42" s="2">
        <v>10</v>
      </c>
      <c r="H42" s="2">
        <v>40</v>
      </c>
      <c r="I42" s="9"/>
      <c r="J42" s="2" t="s">
        <v>239</v>
      </c>
      <c r="K42" s="2" t="s">
        <v>240</v>
      </c>
      <c r="L42" s="9"/>
      <c r="M42" s="9"/>
      <c r="N42" s="9"/>
      <c r="O42" s="2">
        <v>0.5</v>
      </c>
      <c r="P42" s="2" t="s">
        <v>70</v>
      </c>
      <c r="Q42" s="2">
        <v>20</v>
      </c>
      <c r="R42" s="9" t="s">
        <v>186</v>
      </c>
      <c r="S42" s="2"/>
      <c r="T42" s="2"/>
      <c r="U42" s="2"/>
      <c r="V42" s="9"/>
      <c r="W42" s="2"/>
      <c r="X42" s="1"/>
      <c r="Y42" s="1"/>
      <c r="Z42" s="1"/>
      <c r="AA42" s="1"/>
    </row>
    <row r="43" spans="1:27" x14ac:dyDescent="0.25">
      <c r="A43" s="2" t="s">
        <v>26</v>
      </c>
      <c r="B43" s="2" t="s">
        <v>16</v>
      </c>
      <c r="C43" s="2">
        <v>60</v>
      </c>
      <c r="D43" s="2">
        <v>50</v>
      </c>
      <c r="E43" s="2">
        <v>6</v>
      </c>
      <c r="F43" s="2">
        <v>60</v>
      </c>
      <c r="G43" s="2">
        <v>10</v>
      </c>
      <c r="H43" s="2">
        <v>40</v>
      </c>
      <c r="I43" s="9"/>
      <c r="J43" s="2" t="s">
        <v>239</v>
      </c>
      <c r="K43" s="2" t="s">
        <v>240</v>
      </c>
      <c r="L43" s="9"/>
      <c r="M43" s="9"/>
      <c r="N43" s="9"/>
      <c r="O43" s="2">
        <v>0.5</v>
      </c>
      <c r="P43" s="2" t="s">
        <v>71</v>
      </c>
      <c r="Q43" s="2">
        <v>20</v>
      </c>
      <c r="R43" s="9" t="s">
        <v>186</v>
      </c>
      <c r="S43" s="2"/>
      <c r="T43" s="2"/>
      <c r="U43" s="2"/>
      <c r="V43" s="9"/>
      <c r="W43" s="2"/>
      <c r="X43" s="1"/>
      <c r="Y43" s="1"/>
      <c r="Z43" s="1"/>
      <c r="AA43" s="1"/>
    </row>
    <row r="44" spans="1:27" x14ac:dyDescent="0.25">
      <c r="A44" s="2" t="s">
        <v>26</v>
      </c>
      <c r="B44" s="2" t="s">
        <v>16</v>
      </c>
      <c r="C44" s="2">
        <v>60</v>
      </c>
      <c r="D44" s="2">
        <v>100</v>
      </c>
      <c r="E44" s="2">
        <v>6</v>
      </c>
      <c r="F44" s="2">
        <v>60</v>
      </c>
      <c r="G44" s="2">
        <v>10</v>
      </c>
      <c r="H44" s="2">
        <v>40</v>
      </c>
      <c r="I44" s="9"/>
      <c r="J44" s="2" t="s">
        <v>239</v>
      </c>
      <c r="K44" s="2" t="s">
        <v>240</v>
      </c>
      <c r="L44" s="9"/>
      <c r="M44" s="9"/>
      <c r="N44" s="9"/>
      <c r="O44" s="2">
        <v>0.5</v>
      </c>
      <c r="P44" s="2" t="s">
        <v>72</v>
      </c>
      <c r="Q44" s="2">
        <v>20</v>
      </c>
      <c r="R44" s="9" t="s">
        <v>186</v>
      </c>
      <c r="S44" s="2"/>
      <c r="T44" s="2"/>
      <c r="U44" s="2"/>
      <c r="V44" s="9"/>
      <c r="W44" s="2"/>
      <c r="X44" s="1"/>
      <c r="Y44" s="1"/>
      <c r="Z44" s="1"/>
      <c r="AA44" s="1"/>
    </row>
    <row r="45" spans="1:27" x14ac:dyDescent="0.25">
      <c r="A45" s="2" t="s">
        <v>26</v>
      </c>
      <c r="B45" s="2" t="s">
        <v>16</v>
      </c>
      <c r="C45" s="2">
        <v>60</v>
      </c>
      <c r="D45" s="2">
        <v>150</v>
      </c>
      <c r="E45" s="2">
        <v>6</v>
      </c>
      <c r="F45" s="2">
        <v>60</v>
      </c>
      <c r="G45" s="2">
        <v>10</v>
      </c>
      <c r="H45" s="2">
        <v>40</v>
      </c>
      <c r="I45" s="9"/>
      <c r="J45" s="2" t="s">
        <v>239</v>
      </c>
      <c r="K45" s="2" t="s">
        <v>240</v>
      </c>
      <c r="L45" s="9"/>
      <c r="M45" s="9"/>
      <c r="N45" s="9"/>
      <c r="O45" s="2">
        <v>0.5</v>
      </c>
      <c r="P45" s="2" t="s">
        <v>73</v>
      </c>
      <c r="Q45" s="2">
        <v>20</v>
      </c>
      <c r="R45" s="9" t="s">
        <v>186</v>
      </c>
      <c r="S45" s="2"/>
      <c r="T45" s="2"/>
      <c r="U45" s="2"/>
      <c r="V45" s="9"/>
      <c r="W45" s="2"/>
      <c r="X45" s="1"/>
      <c r="Y45" s="1"/>
      <c r="Z45" s="1"/>
      <c r="AA45" s="1"/>
    </row>
    <row r="46" spans="1:27" x14ac:dyDescent="0.25">
      <c r="A46" s="1" t="s">
        <v>26</v>
      </c>
      <c r="B46" s="1" t="s">
        <v>31</v>
      </c>
      <c r="C46">
        <v>60</v>
      </c>
      <c r="D46">
        <v>25</v>
      </c>
      <c r="E46">
        <v>6</v>
      </c>
      <c r="F46">
        <v>60</v>
      </c>
      <c r="G46">
        <v>10</v>
      </c>
      <c r="H46" s="8">
        <v>40</v>
      </c>
      <c r="I46" t="s">
        <v>250</v>
      </c>
      <c r="J46" s="5"/>
      <c r="K46" s="5"/>
      <c r="L46" s="5"/>
      <c r="M46" s="5"/>
      <c r="N46" s="5"/>
      <c r="O46">
        <v>0.5</v>
      </c>
      <c r="P46" s="2" t="s">
        <v>74</v>
      </c>
      <c r="Q46" s="8">
        <v>20</v>
      </c>
      <c r="R46" s="9" t="s">
        <v>186</v>
      </c>
      <c r="V46" s="3"/>
      <c r="X46" s="1"/>
      <c r="Y46" s="1"/>
      <c r="Z46" s="1"/>
      <c r="AA46" s="1"/>
    </row>
    <row r="47" spans="1:27" x14ac:dyDescent="0.25">
      <c r="A47" s="1" t="s">
        <v>26</v>
      </c>
      <c r="B47" s="1" t="s">
        <v>31</v>
      </c>
      <c r="C47">
        <v>60</v>
      </c>
      <c r="D47">
        <v>50</v>
      </c>
      <c r="E47">
        <v>6</v>
      </c>
      <c r="F47">
        <v>60</v>
      </c>
      <c r="G47">
        <v>10</v>
      </c>
      <c r="H47" s="8">
        <v>40</v>
      </c>
      <c r="I47" t="s">
        <v>250</v>
      </c>
      <c r="J47" s="5"/>
      <c r="K47" s="5"/>
      <c r="L47" s="5"/>
      <c r="M47" s="5"/>
      <c r="N47" s="5"/>
      <c r="O47">
        <v>0.5</v>
      </c>
      <c r="P47" s="2" t="s">
        <v>75</v>
      </c>
      <c r="Q47" s="8">
        <v>20</v>
      </c>
      <c r="R47" s="9" t="s">
        <v>186</v>
      </c>
      <c r="V47" s="3"/>
      <c r="X47" s="1"/>
      <c r="Y47" s="1"/>
      <c r="Z47" s="1"/>
      <c r="AA47" s="1"/>
    </row>
    <row r="48" spans="1:27" x14ac:dyDescent="0.25">
      <c r="A48" s="1" t="s">
        <v>26</v>
      </c>
      <c r="B48" s="1" t="s">
        <v>31</v>
      </c>
      <c r="C48">
        <v>60</v>
      </c>
      <c r="D48">
        <v>100</v>
      </c>
      <c r="E48">
        <v>6</v>
      </c>
      <c r="F48">
        <v>60</v>
      </c>
      <c r="G48">
        <v>10</v>
      </c>
      <c r="H48" s="8">
        <v>40</v>
      </c>
      <c r="I48" t="s">
        <v>250</v>
      </c>
      <c r="J48" s="5"/>
      <c r="K48" s="5"/>
      <c r="L48" s="5"/>
      <c r="M48" s="5"/>
      <c r="N48" s="5"/>
      <c r="O48">
        <v>0.5</v>
      </c>
      <c r="P48" s="2" t="s">
        <v>76</v>
      </c>
      <c r="Q48" s="8">
        <v>20</v>
      </c>
      <c r="R48" s="9" t="s">
        <v>186</v>
      </c>
      <c r="V48" s="3"/>
      <c r="X48" s="1"/>
      <c r="Y48" s="1"/>
      <c r="Z48" s="1"/>
      <c r="AA48" s="1"/>
    </row>
    <row r="49" spans="1:27" x14ac:dyDescent="0.25">
      <c r="A49" s="1" t="s">
        <v>26</v>
      </c>
      <c r="B49" s="1" t="s">
        <v>31</v>
      </c>
      <c r="C49">
        <v>60</v>
      </c>
      <c r="D49">
        <v>150</v>
      </c>
      <c r="E49">
        <v>6</v>
      </c>
      <c r="F49">
        <v>60</v>
      </c>
      <c r="G49">
        <v>10</v>
      </c>
      <c r="H49" s="8">
        <v>40</v>
      </c>
      <c r="I49" t="s">
        <v>250</v>
      </c>
      <c r="J49" s="5"/>
      <c r="K49" s="5"/>
      <c r="L49" s="5"/>
      <c r="M49" s="5"/>
      <c r="N49" s="5"/>
      <c r="O49">
        <v>0.5</v>
      </c>
      <c r="P49" s="2" t="s">
        <v>77</v>
      </c>
      <c r="Q49" s="8">
        <v>20</v>
      </c>
      <c r="R49" s="9" t="s">
        <v>186</v>
      </c>
      <c r="V49" s="3"/>
      <c r="X49" s="1"/>
      <c r="Y49" s="1"/>
      <c r="Z49" s="1"/>
      <c r="AA49" s="1"/>
    </row>
    <row r="50" spans="1:27" x14ac:dyDescent="0.25">
      <c r="A50" s="2" t="s">
        <v>15</v>
      </c>
      <c r="B50" s="2" t="s">
        <v>16</v>
      </c>
      <c r="C50" s="2">
        <v>90</v>
      </c>
      <c r="D50" s="2">
        <v>24</v>
      </c>
      <c r="E50" s="2">
        <v>10</v>
      </c>
      <c r="F50" s="2">
        <v>30</v>
      </c>
      <c r="G50" s="2">
        <v>105</v>
      </c>
      <c r="H50" s="2">
        <v>150</v>
      </c>
      <c r="I50" s="2" t="s">
        <v>250</v>
      </c>
      <c r="J50" s="9"/>
      <c r="K50" s="9"/>
      <c r="L50" s="9"/>
      <c r="M50" s="2" t="s">
        <v>78</v>
      </c>
      <c r="N50" s="2">
        <v>503550</v>
      </c>
      <c r="O50" s="2">
        <v>0.79</v>
      </c>
      <c r="P50" s="2" t="s">
        <v>79</v>
      </c>
      <c r="Q50" s="2">
        <v>150</v>
      </c>
      <c r="R50" s="9" t="s">
        <v>186</v>
      </c>
      <c r="S50" s="2"/>
      <c r="T50" s="2"/>
      <c r="U50" s="2"/>
      <c r="V50" s="9"/>
      <c r="W50" s="2"/>
      <c r="X50" s="1"/>
      <c r="Y50" s="1"/>
      <c r="Z50" s="1"/>
      <c r="AA50" s="1"/>
    </row>
    <row r="51" spans="1:27" x14ac:dyDescent="0.25">
      <c r="A51" s="2" t="s">
        <v>15</v>
      </c>
      <c r="B51" s="2" t="s">
        <v>16</v>
      </c>
      <c r="C51" s="2">
        <v>90</v>
      </c>
      <c r="D51" s="2">
        <v>49</v>
      </c>
      <c r="E51" s="2">
        <v>10</v>
      </c>
      <c r="F51" s="2">
        <v>30</v>
      </c>
      <c r="G51" s="2">
        <v>105</v>
      </c>
      <c r="H51" s="2">
        <v>150</v>
      </c>
      <c r="I51" s="2" t="s">
        <v>250</v>
      </c>
      <c r="J51" s="9"/>
      <c r="K51" s="9"/>
      <c r="L51" s="9"/>
      <c r="M51" s="2" t="s">
        <v>80</v>
      </c>
      <c r="N51" s="2">
        <v>503550</v>
      </c>
      <c r="O51" s="2">
        <v>0.79</v>
      </c>
      <c r="P51" s="2" t="s">
        <v>81</v>
      </c>
      <c r="Q51" s="2">
        <v>150</v>
      </c>
      <c r="R51" s="9" t="s">
        <v>186</v>
      </c>
      <c r="S51" s="2"/>
      <c r="T51" s="2"/>
      <c r="U51" s="2"/>
      <c r="V51" s="9"/>
      <c r="W51" s="2"/>
    </row>
    <row r="52" spans="1:27" x14ac:dyDescent="0.25">
      <c r="A52" s="2" t="s">
        <v>15</v>
      </c>
      <c r="B52" s="2" t="s">
        <v>16</v>
      </c>
      <c r="C52" s="2">
        <v>90</v>
      </c>
      <c r="D52" s="2">
        <v>99</v>
      </c>
      <c r="E52" s="2">
        <v>10</v>
      </c>
      <c r="F52" s="2">
        <v>30</v>
      </c>
      <c r="G52" s="2">
        <v>105</v>
      </c>
      <c r="H52" s="2">
        <v>150</v>
      </c>
      <c r="I52" s="2" t="s">
        <v>250</v>
      </c>
      <c r="J52" s="9"/>
      <c r="K52" s="9"/>
      <c r="L52" s="9"/>
      <c r="M52" s="2" t="s">
        <v>82</v>
      </c>
      <c r="N52" s="2">
        <v>503550</v>
      </c>
      <c r="O52" s="2">
        <v>0.79</v>
      </c>
      <c r="P52" s="2" t="s">
        <v>83</v>
      </c>
      <c r="Q52" s="2">
        <v>150</v>
      </c>
      <c r="R52" s="9" t="s">
        <v>186</v>
      </c>
      <c r="S52" s="2"/>
      <c r="T52" s="2"/>
      <c r="U52" s="2"/>
      <c r="V52" s="9"/>
      <c r="W52" s="2"/>
    </row>
    <row r="53" spans="1:27" x14ac:dyDescent="0.25">
      <c r="A53" s="1" t="s">
        <v>15</v>
      </c>
      <c r="B53" s="1" t="s">
        <v>22</v>
      </c>
      <c r="C53">
        <v>90</v>
      </c>
      <c r="D53">
        <v>24</v>
      </c>
      <c r="E53">
        <v>10</v>
      </c>
      <c r="F53">
        <v>30</v>
      </c>
      <c r="G53">
        <v>105</v>
      </c>
      <c r="H53" s="8">
        <v>150</v>
      </c>
      <c r="I53" t="s">
        <v>250</v>
      </c>
      <c r="J53" s="5"/>
      <c r="K53" s="5"/>
      <c r="L53" s="5"/>
      <c r="M53" t="s">
        <v>78</v>
      </c>
      <c r="N53">
        <v>503550</v>
      </c>
      <c r="O53">
        <v>0.79</v>
      </c>
      <c r="P53" s="4" t="s">
        <v>84</v>
      </c>
      <c r="Q53" s="8">
        <v>150</v>
      </c>
      <c r="R53" s="9" t="s">
        <v>186</v>
      </c>
      <c r="V53" s="3"/>
    </row>
    <row r="54" spans="1:27" x14ac:dyDescent="0.25">
      <c r="A54" s="1" t="s">
        <v>15</v>
      </c>
      <c r="B54" s="1" t="s">
        <v>22</v>
      </c>
      <c r="C54">
        <v>90</v>
      </c>
      <c r="D54">
        <v>49</v>
      </c>
      <c r="E54">
        <v>10</v>
      </c>
      <c r="F54">
        <v>30</v>
      </c>
      <c r="G54">
        <v>105</v>
      </c>
      <c r="H54" s="8">
        <v>150</v>
      </c>
      <c r="I54" t="s">
        <v>250</v>
      </c>
      <c r="J54" s="5"/>
      <c r="K54" s="5"/>
      <c r="L54" s="5"/>
      <c r="M54" t="s">
        <v>80</v>
      </c>
      <c r="N54">
        <v>503550</v>
      </c>
      <c r="O54">
        <v>0.79</v>
      </c>
      <c r="P54" s="4" t="s">
        <v>85</v>
      </c>
      <c r="Q54" s="8">
        <v>150</v>
      </c>
      <c r="R54" s="9" t="s">
        <v>186</v>
      </c>
      <c r="V54" s="3"/>
    </row>
    <row r="55" spans="1:27" x14ac:dyDescent="0.25">
      <c r="A55" s="1" t="s">
        <v>15</v>
      </c>
      <c r="B55" s="1" t="s">
        <v>22</v>
      </c>
      <c r="C55">
        <v>90</v>
      </c>
      <c r="D55">
        <v>99</v>
      </c>
      <c r="E55">
        <v>10</v>
      </c>
      <c r="F55">
        <v>30</v>
      </c>
      <c r="G55">
        <v>105</v>
      </c>
      <c r="H55" s="8">
        <v>150</v>
      </c>
      <c r="I55" t="s">
        <v>250</v>
      </c>
      <c r="J55" s="5"/>
      <c r="K55" s="5"/>
      <c r="L55" s="5"/>
      <c r="M55" t="s">
        <v>82</v>
      </c>
      <c r="N55">
        <v>503550</v>
      </c>
      <c r="O55">
        <v>0.79</v>
      </c>
      <c r="P55" s="4" t="s">
        <v>86</v>
      </c>
      <c r="Q55" s="8">
        <v>150</v>
      </c>
      <c r="R55" s="9" t="s">
        <v>186</v>
      </c>
      <c r="V55" s="3"/>
    </row>
    <row r="56" spans="1:27" x14ac:dyDescent="0.25">
      <c r="A56" s="2" t="s">
        <v>26</v>
      </c>
      <c r="B56" s="2" t="s">
        <v>16</v>
      </c>
      <c r="C56" s="2">
        <v>90</v>
      </c>
      <c r="D56" s="2">
        <v>25</v>
      </c>
      <c r="E56" s="2">
        <v>9</v>
      </c>
      <c r="F56" s="2">
        <v>30</v>
      </c>
      <c r="G56" s="2">
        <v>10</v>
      </c>
      <c r="H56" s="2">
        <v>40</v>
      </c>
      <c r="I56" s="9"/>
      <c r="J56" s="2" t="s">
        <v>241</v>
      </c>
      <c r="K56" s="2" t="s">
        <v>242</v>
      </c>
      <c r="L56" s="9"/>
      <c r="M56" s="9"/>
      <c r="N56" s="9"/>
      <c r="O56" s="2">
        <v>0.79</v>
      </c>
      <c r="P56" s="2" t="s">
        <v>87</v>
      </c>
      <c r="Q56" s="2">
        <v>20</v>
      </c>
      <c r="R56" s="9" t="s">
        <v>186</v>
      </c>
      <c r="S56" s="2"/>
      <c r="T56" s="2"/>
      <c r="U56" s="2"/>
      <c r="V56" s="9"/>
      <c r="W56" s="2"/>
    </row>
    <row r="57" spans="1:27" x14ac:dyDescent="0.25">
      <c r="A57" s="2" t="s">
        <v>26</v>
      </c>
      <c r="B57" s="2" t="s">
        <v>16</v>
      </c>
      <c r="C57" s="2">
        <v>90</v>
      </c>
      <c r="D57" s="2">
        <v>50</v>
      </c>
      <c r="E57" s="2">
        <v>9</v>
      </c>
      <c r="F57" s="2">
        <v>30</v>
      </c>
      <c r="G57" s="2">
        <v>10</v>
      </c>
      <c r="H57" s="2">
        <v>40</v>
      </c>
      <c r="I57" s="9"/>
      <c r="J57" s="2" t="s">
        <v>241</v>
      </c>
      <c r="K57" s="2" t="s">
        <v>242</v>
      </c>
      <c r="L57" s="9"/>
      <c r="M57" s="9"/>
      <c r="N57" s="9"/>
      <c r="O57" s="2">
        <v>0.79</v>
      </c>
      <c r="P57" s="2" t="s">
        <v>88</v>
      </c>
      <c r="Q57" s="2">
        <v>20</v>
      </c>
      <c r="R57" s="9" t="s">
        <v>186</v>
      </c>
      <c r="S57" s="2"/>
      <c r="T57" s="2"/>
      <c r="U57" s="2"/>
      <c r="V57" s="9"/>
      <c r="W57" s="2"/>
    </row>
    <row r="58" spans="1:27" x14ac:dyDescent="0.25">
      <c r="A58" s="2" t="s">
        <v>26</v>
      </c>
      <c r="B58" s="2" t="s">
        <v>16</v>
      </c>
      <c r="C58" s="2">
        <v>90</v>
      </c>
      <c r="D58" s="2">
        <v>100</v>
      </c>
      <c r="E58" s="2">
        <v>9</v>
      </c>
      <c r="F58" s="2">
        <v>30</v>
      </c>
      <c r="G58" s="2">
        <v>10</v>
      </c>
      <c r="H58" s="2">
        <v>40</v>
      </c>
      <c r="I58" s="9"/>
      <c r="J58" s="2" t="s">
        <v>241</v>
      </c>
      <c r="K58" s="2" t="s">
        <v>242</v>
      </c>
      <c r="L58" s="9"/>
      <c r="M58" s="9"/>
      <c r="N58" s="9"/>
      <c r="O58" s="2">
        <v>0.79</v>
      </c>
      <c r="P58" s="2" t="s">
        <v>89</v>
      </c>
      <c r="Q58" s="2">
        <v>20</v>
      </c>
      <c r="R58" s="9" t="s">
        <v>186</v>
      </c>
      <c r="S58" s="2"/>
      <c r="T58" s="2"/>
      <c r="U58" s="2"/>
      <c r="V58" s="9"/>
      <c r="W58" s="2"/>
    </row>
    <row r="59" spans="1:27" x14ac:dyDescent="0.25">
      <c r="A59" s="2" t="s">
        <v>26</v>
      </c>
      <c r="B59" s="2" t="s">
        <v>16</v>
      </c>
      <c r="C59" s="2">
        <v>90</v>
      </c>
      <c r="D59" s="2">
        <v>150</v>
      </c>
      <c r="E59" s="2">
        <v>9</v>
      </c>
      <c r="F59" s="2">
        <v>30</v>
      </c>
      <c r="G59" s="2">
        <v>10</v>
      </c>
      <c r="H59" s="2">
        <v>40</v>
      </c>
      <c r="I59" s="9"/>
      <c r="J59" s="2" t="s">
        <v>241</v>
      </c>
      <c r="K59" s="2" t="s">
        <v>242</v>
      </c>
      <c r="L59" s="9"/>
      <c r="M59" s="9"/>
      <c r="N59" s="9"/>
      <c r="O59" s="2">
        <v>0.79</v>
      </c>
      <c r="P59" s="2" t="s">
        <v>90</v>
      </c>
      <c r="Q59" s="2">
        <v>20</v>
      </c>
      <c r="R59" s="9" t="s">
        <v>186</v>
      </c>
      <c r="S59" s="2"/>
      <c r="T59" s="2"/>
      <c r="U59" s="2"/>
      <c r="V59" s="9"/>
      <c r="W59" s="2"/>
    </row>
    <row r="60" spans="1:27" x14ac:dyDescent="0.25">
      <c r="A60" s="1" t="s">
        <v>26</v>
      </c>
      <c r="B60" s="1" t="s">
        <v>31</v>
      </c>
      <c r="C60">
        <v>90</v>
      </c>
      <c r="D60">
        <v>25</v>
      </c>
      <c r="E60">
        <v>9</v>
      </c>
      <c r="F60">
        <v>30</v>
      </c>
      <c r="G60">
        <v>10</v>
      </c>
      <c r="H60" s="8">
        <v>40</v>
      </c>
      <c r="I60" t="s">
        <v>250</v>
      </c>
      <c r="J60" s="5"/>
      <c r="K60" s="5"/>
      <c r="L60" s="5"/>
      <c r="M60" s="5"/>
      <c r="N60" s="5"/>
      <c r="O60">
        <v>0.79</v>
      </c>
      <c r="P60" s="4" t="s">
        <v>91</v>
      </c>
      <c r="Q60" s="8">
        <v>20</v>
      </c>
      <c r="R60" s="9" t="s">
        <v>186</v>
      </c>
      <c r="V60" s="3"/>
    </row>
    <row r="61" spans="1:27" x14ac:dyDescent="0.25">
      <c r="A61" s="1" t="s">
        <v>26</v>
      </c>
      <c r="B61" s="1" t="s">
        <v>31</v>
      </c>
      <c r="C61">
        <v>90</v>
      </c>
      <c r="D61">
        <v>50</v>
      </c>
      <c r="E61">
        <v>9</v>
      </c>
      <c r="F61">
        <v>30</v>
      </c>
      <c r="G61">
        <v>10</v>
      </c>
      <c r="H61" s="8">
        <v>40</v>
      </c>
      <c r="I61" t="s">
        <v>250</v>
      </c>
      <c r="J61" s="5"/>
      <c r="K61" s="5"/>
      <c r="L61" s="5"/>
      <c r="M61" s="5"/>
      <c r="N61" s="5"/>
      <c r="O61">
        <v>0.79</v>
      </c>
      <c r="P61" s="4" t="s">
        <v>92</v>
      </c>
      <c r="Q61" s="8">
        <v>20</v>
      </c>
      <c r="R61" s="9" t="s">
        <v>186</v>
      </c>
      <c r="V61" s="3"/>
    </row>
    <row r="62" spans="1:27" x14ac:dyDescent="0.25">
      <c r="A62" s="1" t="s">
        <v>26</v>
      </c>
      <c r="B62" s="1" t="s">
        <v>31</v>
      </c>
      <c r="C62">
        <v>90</v>
      </c>
      <c r="D62">
        <v>100</v>
      </c>
      <c r="E62">
        <v>9</v>
      </c>
      <c r="F62">
        <v>30</v>
      </c>
      <c r="G62">
        <v>10</v>
      </c>
      <c r="H62" s="8">
        <v>40</v>
      </c>
      <c r="I62" t="s">
        <v>250</v>
      </c>
      <c r="J62" s="5"/>
      <c r="K62" s="5"/>
      <c r="L62" s="5"/>
      <c r="M62" s="5"/>
      <c r="N62" s="5"/>
      <c r="O62">
        <v>0.79</v>
      </c>
      <c r="P62" s="4" t="s">
        <v>93</v>
      </c>
      <c r="Q62" s="8">
        <v>20</v>
      </c>
      <c r="R62" s="9" t="s">
        <v>186</v>
      </c>
      <c r="V62" s="3"/>
    </row>
    <row r="63" spans="1:27" x14ac:dyDescent="0.25">
      <c r="A63" s="1" t="s">
        <v>26</v>
      </c>
      <c r="B63" s="1" t="s">
        <v>31</v>
      </c>
      <c r="C63">
        <v>90</v>
      </c>
      <c r="D63">
        <v>150</v>
      </c>
      <c r="E63">
        <v>9</v>
      </c>
      <c r="F63">
        <v>30</v>
      </c>
      <c r="G63">
        <v>10</v>
      </c>
      <c r="H63" s="8">
        <v>40</v>
      </c>
      <c r="I63" t="s">
        <v>250</v>
      </c>
      <c r="J63" s="5"/>
      <c r="K63" s="5"/>
      <c r="L63" s="5"/>
      <c r="M63" s="5"/>
      <c r="N63" s="5"/>
      <c r="O63">
        <v>0.79</v>
      </c>
      <c r="P63" s="4" t="s">
        <v>94</v>
      </c>
      <c r="Q63" s="8">
        <v>20</v>
      </c>
      <c r="R63" s="9" t="s">
        <v>186</v>
      </c>
      <c r="V63" s="3"/>
    </row>
    <row r="64" spans="1:27" x14ac:dyDescent="0.25">
      <c r="A64" s="2" t="s">
        <v>15</v>
      </c>
      <c r="B64" s="2" t="s">
        <v>16</v>
      </c>
      <c r="C64" s="2">
        <v>150</v>
      </c>
      <c r="D64" s="2">
        <v>24</v>
      </c>
      <c r="E64" s="2">
        <v>15</v>
      </c>
      <c r="F64" s="2">
        <v>30</v>
      </c>
      <c r="G64" s="2">
        <v>105</v>
      </c>
      <c r="H64" s="2">
        <v>150</v>
      </c>
      <c r="I64" s="2" t="s">
        <v>250</v>
      </c>
      <c r="J64" s="9"/>
      <c r="K64" s="9"/>
      <c r="L64" s="9"/>
      <c r="M64" s="2" t="s">
        <v>95</v>
      </c>
      <c r="N64" s="2">
        <v>503550</v>
      </c>
      <c r="O64" s="2">
        <v>1.23</v>
      </c>
      <c r="P64" s="2" t="s">
        <v>96</v>
      </c>
      <c r="Q64" s="2">
        <v>150</v>
      </c>
      <c r="R64" s="9" t="s">
        <v>187</v>
      </c>
      <c r="S64" s="2"/>
      <c r="T64" s="2"/>
      <c r="U64" s="2"/>
      <c r="V64" s="9"/>
      <c r="W64" s="2"/>
    </row>
    <row r="65" spans="1:23" x14ac:dyDescent="0.25">
      <c r="A65" s="2" t="s">
        <v>15</v>
      </c>
      <c r="B65" s="2" t="s">
        <v>16</v>
      </c>
      <c r="C65" s="2">
        <v>150</v>
      </c>
      <c r="D65" s="2">
        <v>49</v>
      </c>
      <c r="E65" s="2">
        <v>15</v>
      </c>
      <c r="F65" s="2">
        <v>30</v>
      </c>
      <c r="G65" s="2">
        <v>105</v>
      </c>
      <c r="H65" s="2">
        <v>150</v>
      </c>
      <c r="I65" s="2" t="s">
        <v>250</v>
      </c>
      <c r="J65" s="9"/>
      <c r="K65" s="9"/>
      <c r="L65" s="9"/>
      <c r="M65" s="2" t="s">
        <v>97</v>
      </c>
      <c r="N65" s="2">
        <v>503550</v>
      </c>
      <c r="O65" s="2">
        <v>1.23</v>
      </c>
      <c r="P65" s="2" t="s">
        <v>98</v>
      </c>
      <c r="Q65" s="2">
        <v>150</v>
      </c>
      <c r="R65" s="9" t="s">
        <v>187</v>
      </c>
      <c r="S65" s="2"/>
      <c r="T65" s="2"/>
      <c r="U65" s="2"/>
      <c r="V65" s="9"/>
      <c r="W65" s="2"/>
    </row>
    <row r="66" spans="1:23" x14ac:dyDescent="0.25">
      <c r="A66" s="2" t="s">
        <v>15</v>
      </c>
      <c r="B66" s="2" t="s">
        <v>16</v>
      </c>
      <c r="C66" s="2">
        <v>150</v>
      </c>
      <c r="D66" s="2">
        <v>99</v>
      </c>
      <c r="E66" s="2">
        <v>15</v>
      </c>
      <c r="F66" s="2">
        <v>30</v>
      </c>
      <c r="G66" s="2">
        <v>105</v>
      </c>
      <c r="H66" s="2">
        <v>150</v>
      </c>
      <c r="I66" s="2" t="s">
        <v>250</v>
      </c>
      <c r="J66" s="9"/>
      <c r="K66" s="9"/>
      <c r="L66" s="9"/>
      <c r="M66" s="2" t="s">
        <v>99</v>
      </c>
      <c r="N66" s="2">
        <v>503550</v>
      </c>
      <c r="O66" s="2">
        <v>1.23</v>
      </c>
      <c r="P66" s="2" t="s">
        <v>100</v>
      </c>
      <c r="Q66" s="2">
        <v>150</v>
      </c>
      <c r="R66" s="9" t="s">
        <v>187</v>
      </c>
      <c r="S66" s="2"/>
      <c r="T66" s="2"/>
      <c r="U66" s="2"/>
      <c r="V66" s="9"/>
      <c r="W66" s="2"/>
    </row>
    <row r="67" spans="1:23" x14ac:dyDescent="0.25">
      <c r="A67" s="1" t="s">
        <v>15</v>
      </c>
      <c r="B67" s="1" t="s">
        <v>22</v>
      </c>
      <c r="C67">
        <v>150</v>
      </c>
      <c r="D67">
        <v>24</v>
      </c>
      <c r="E67">
        <v>15</v>
      </c>
      <c r="F67">
        <v>30</v>
      </c>
      <c r="G67">
        <v>105</v>
      </c>
      <c r="H67" s="8">
        <v>150</v>
      </c>
      <c r="I67" t="s">
        <v>250</v>
      </c>
      <c r="J67" s="5"/>
      <c r="K67" s="5"/>
      <c r="L67" s="5"/>
      <c r="M67" t="s">
        <v>95</v>
      </c>
      <c r="N67">
        <v>503550</v>
      </c>
      <c r="O67">
        <v>1.23</v>
      </c>
      <c r="P67" s="2" t="s">
        <v>101</v>
      </c>
      <c r="Q67" s="8">
        <v>150</v>
      </c>
      <c r="R67" s="9" t="s">
        <v>187</v>
      </c>
      <c r="V67" s="3"/>
    </row>
    <row r="68" spans="1:23" x14ac:dyDescent="0.25">
      <c r="A68" s="1" t="s">
        <v>15</v>
      </c>
      <c r="B68" s="1" t="s">
        <v>22</v>
      </c>
      <c r="C68">
        <v>150</v>
      </c>
      <c r="D68">
        <v>49</v>
      </c>
      <c r="E68">
        <v>15</v>
      </c>
      <c r="F68">
        <v>30</v>
      </c>
      <c r="G68">
        <v>105</v>
      </c>
      <c r="H68" s="8">
        <v>150</v>
      </c>
      <c r="I68" t="s">
        <v>250</v>
      </c>
      <c r="J68" s="5"/>
      <c r="K68" s="5"/>
      <c r="L68" s="5"/>
      <c r="M68" t="s">
        <v>97</v>
      </c>
      <c r="N68">
        <v>503550</v>
      </c>
      <c r="O68">
        <v>1.23</v>
      </c>
      <c r="P68" s="2" t="s">
        <v>102</v>
      </c>
      <c r="Q68" s="8">
        <v>150</v>
      </c>
      <c r="R68" s="9" t="s">
        <v>187</v>
      </c>
      <c r="V68" s="3"/>
    </row>
    <row r="69" spans="1:23" x14ac:dyDescent="0.25">
      <c r="A69" s="1" t="s">
        <v>15</v>
      </c>
      <c r="B69" s="1" t="s">
        <v>22</v>
      </c>
      <c r="C69">
        <v>150</v>
      </c>
      <c r="D69">
        <v>99</v>
      </c>
      <c r="E69">
        <v>15</v>
      </c>
      <c r="F69">
        <v>30</v>
      </c>
      <c r="G69">
        <v>105</v>
      </c>
      <c r="H69" s="8">
        <v>150</v>
      </c>
      <c r="I69" t="s">
        <v>250</v>
      </c>
      <c r="J69" s="5"/>
      <c r="K69" s="5"/>
      <c r="L69" s="5"/>
      <c r="M69" t="s">
        <v>99</v>
      </c>
      <c r="N69">
        <v>503550</v>
      </c>
      <c r="O69">
        <v>1.23</v>
      </c>
      <c r="P69" s="2" t="s">
        <v>103</v>
      </c>
      <c r="Q69" s="8">
        <v>150</v>
      </c>
      <c r="R69" s="9" t="s">
        <v>187</v>
      </c>
      <c r="V69" s="3"/>
    </row>
    <row r="70" spans="1:23" x14ac:dyDescent="0.25">
      <c r="A70" s="2" t="s">
        <v>26</v>
      </c>
      <c r="B70" s="2" t="s">
        <v>16</v>
      </c>
      <c r="C70" s="2">
        <v>150</v>
      </c>
      <c r="D70" s="2">
        <v>25</v>
      </c>
      <c r="E70" s="2">
        <v>30</v>
      </c>
      <c r="F70" s="2">
        <v>30</v>
      </c>
      <c r="G70" s="2">
        <v>10</v>
      </c>
      <c r="H70" s="2">
        <v>40</v>
      </c>
      <c r="I70" s="9"/>
      <c r="J70" s="2" t="s">
        <v>243</v>
      </c>
      <c r="K70" s="9"/>
      <c r="L70" s="9"/>
      <c r="M70" s="9"/>
      <c r="N70" s="9"/>
      <c r="O70" s="2">
        <v>1.23</v>
      </c>
      <c r="P70" s="2" t="s">
        <v>104</v>
      </c>
      <c r="Q70" s="2">
        <v>20</v>
      </c>
      <c r="R70" s="9" t="s">
        <v>187</v>
      </c>
      <c r="S70" s="2"/>
      <c r="T70" s="2"/>
      <c r="U70" s="2"/>
      <c r="V70" s="9"/>
      <c r="W70" s="2"/>
    </row>
    <row r="71" spans="1:23" x14ac:dyDescent="0.25">
      <c r="A71" s="2" t="s">
        <v>26</v>
      </c>
      <c r="B71" s="2" t="s">
        <v>16</v>
      </c>
      <c r="C71" s="2">
        <v>150</v>
      </c>
      <c r="D71" s="2">
        <v>50</v>
      </c>
      <c r="E71" s="2">
        <v>30</v>
      </c>
      <c r="F71" s="2">
        <v>30</v>
      </c>
      <c r="G71" s="2">
        <v>10</v>
      </c>
      <c r="H71" s="2">
        <v>40</v>
      </c>
      <c r="I71" s="9"/>
      <c r="J71" s="2" t="s">
        <v>243</v>
      </c>
      <c r="K71" s="9"/>
      <c r="L71" s="9"/>
      <c r="M71" s="9"/>
      <c r="N71" s="9"/>
      <c r="O71" s="2">
        <v>1.23</v>
      </c>
      <c r="P71" s="2" t="s">
        <v>105</v>
      </c>
      <c r="Q71" s="2">
        <v>20</v>
      </c>
      <c r="R71" s="9" t="s">
        <v>187</v>
      </c>
      <c r="S71" s="2"/>
      <c r="T71" s="2"/>
      <c r="U71" s="2"/>
      <c r="V71" s="9"/>
      <c r="W71" s="2"/>
    </row>
    <row r="72" spans="1:23" x14ac:dyDescent="0.25">
      <c r="A72" s="2" t="s">
        <v>26</v>
      </c>
      <c r="B72" s="2" t="s">
        <v>16</v>
      </c>
      <c r="C72" s="2">
        <v>150</v>
      </c>
      <c r="D72" s="2">
        <v>100</v>
      </c>
      <c r="E72" s="2">
        <v>30</v>
      </c>
      <c r="F72" s="2">
        <v>30</v>
      </c>
      <c r="G72" s="2">
        <v>10</v>
      </c>
      <c r="H72" s="2">
        <v>40</v>
      </c>
      <c r="I72" s="9"/>
      <c r="J72" s="2" t="s">
        <v>243</v>
      </c>
      <c r="K72" s="9"/>
      <c r="L72" s="9"/>
      <c r="M72" s="9"/>
      <c r="N72" s="9"/>
      <c r="O72" s="2">
        <v>1.23</v>
      </c>
      <c r="P72" s="2" t="s">
        <v>106</v>
      </c>
      <c r="Q72" s="2">
        <v>20</v>
      </c>
      <c r="R72" s="9" t="s">
        <v>187</v>
      </c>
      <c r="S72" s="2"/>
      <c r="T72" s="2"/>
      <c r="U72" s="2"/>
      <c r="V72" s="9"/>
      <c r="W72" s="2"/>
    </row>
    <row r="73" spans="1:23" x14ac:dyDescent="0.25">
      <c r="A73" s="2" t="s">
        <v>26</v>
      </c>
      <c r="B73" s="2" t="s">
        <v>16</v>
      </c>
      <c r="C73" s="2">
        <v>150</v>
      </c>
      <c r="D73" s="2">
        <v>150</v>
      </c>
      <c r="E73" s="2">
        <v>30</v>
      </c>
      <c r="F73" s="2">
        <v>30</v>
      </c>
      <c r="G73" s="2">
        <v>10</v>
      </c>
      <c r="H73" s="2">
        <v>40</v>
      </c>
      <c r="I73" s="9"/>
      <c r="J73" s="2" t="s">
        <v>243</v>
      </c>
      <c r="K73" s="9"/>
      <c r="L73" s="9"/>
      <c r="M73" s="9"/>
      <c r="N73" s="9"/>
      <c r="O73" s="2">
        <v>1.23</v>
      </c>
      <c r="P73" s="2" t="s">
        <v>107</v>
      </c>
      <c r="Q73" s="2">
        <v>20</v>
      </c>
      <c r="R73" s="9" t="s">
        <v>187</v>
      </c>
      <c r="S73" s="2"/>
      <c r="T73" s="2"/>
      <c r="U73" s="2"/>
      <c r="V73" s="9"/>
      <c r="W73" s="2"/>
    </row>
    <row r="74" spans="1:23" x14ac:dyDescent="0.25">
      <c r="A74" s="1" t="s">
        <v>26</v>
      </c>
      <c r="B74" s="1" t="s">
        <v>31</v>
      </c>
      <c r="C74">
        <v>150</v>
      </c>
      <c r="D74">
        <v>25</v>
      </c>
      <c r="E74">
        <v>30</v>
      </c>
      <c r="F74">
        <v>30</v>
      </c>
      <c r="G74">
        <v>10</v>
      </c>
      <c r="H74" s="8">
        <v>40</v>
      </c>
      <c r="I74" t="s">
        <v>250</v>
      </c>
      <c r="J74" s="5"/>
      <c r="K74" s="9"/>
      <c r="L74" s="5"/>
      <c r="M74" s="5"/>
      <c r="N74" s="5"/>
      <c r="O74">
        <v>1.23</v>
      </c>
      <c r="P74" s="2" t="s">
        <v>108</v>
      </c>
      <c r="Q74" s="8">
        <v>20</v>
      </c>
      <c r="R74" s="9" t="s">
        <v>187</v>
      </c>
      <c r="V74" s="3"/>
    </row>
    <row r="75" spans="1:23" x14ac:dyDescent="0.25">
      <c r="A75" s="1" t="s">
        <v>26</v>
      </c>
      <c r="B75" s="1" t="s">
        <v>31</v>
      </c>
      <c r="C75">
        <v>150</v>
      </c>
      <c r="D75">
        <v>50</v>
      </c>
      <c r="E75">
        <v>30</v>
      </c>
      <c r="F75">
        <v>30</v>
      </c>
      <c r="G75">
        <v>10</v>
      </c>
      <c r="H75" s="8">
        <v>40</v>
      </c>
      <c r="I75" t="s">
        <v>250</v>
      </c>
      <c r="J75" s="5"/>
      <c r="K75" s="9"/>
      <c r="L75" s="5"/>
      <c r="M75" s="5"/>
      <c r="N75" s="5"/>
      <c r="O75">
        <v>1.23</v>
      </c>
      <c r="P75" s="2" t="s">
        <v>109</v>
      </c>
      <c r="Q75" s="8">
        <v>20</v>
      </c>
      <c r="R75" s="9" t="s">
        <v>187</v>
      </c>
      <c r="V75" s="3"/>
    </row>
    <row r="76" spans="1:23" x14ac:dyDescent="0.25">
      <c r="A76" s="1" t="s">
        <v>26</v>
      </c>
      <c r="B76" s="1" t="s">
        <v>31</v>
      </c>
      <c r="C76">
        <v>150</v>
      </c>
      <c r="D76">
        <v>100</v>
      </c>
      <c r="E76">
        <v>30</v>
      </c>
      <c r="F76">
        <v>30</v>
      </c>
      <c r="G76">
        <v>10</v>
      </c>
      <c r="H76" s="8">
        <v>40</v>
      </c>
      <c r="I76" t="s">
        <v>250</v>
      </c>
      <c r="J76" s="5"/>
      <c r="K76" s="5"/>
      <c r="L76" s="5"/>
      <c r="M76" s="5"/>
      <c r="N76" s="5"/>
      <c r="O76">
        <v>1.23</v>
      </c>
      <c r="P76" s="2" t="s">
        <v>110</v>
      </c>
      <c r="Q76" s="8">
        <v>20</v>
      </c>
      <c r="R76" s="9" t="s">
        <v>187</v>
      </c>
      <c r="V76" s="3"/>
    </row>
    <row r="77" spans="1:23" x14ac:dyDescent="0.25">
      <c r="A77" s="1" t="s">
        <v>26</v>
      </c>
      <c r="B77" s="1" t="s">
        <v>31</v>
      </c>
      <c r="C77">
        <v>150</v>
      </c>
      <c r="D77">
        <v>150</v>
      </c>
      <c r="E77">
        <v>30</v>
      </c>
      <c r="F77">
        <v>30</v>
      </c>
      <c r="G77">
        <v>10</v>
      </c>
      <c r="H77" s="8">
        <v>40</v>
      </c>
      <c r="I77" t="s">
        <v>250</v>
      </c>
      <c r="J77" s="5"/>
      <c r="K77" s="5"/>
      <c r="L77" s="5"/>
      <c r="M77" s="5"/>
      <c r="N77" s="5"/>
      <c r="O77">
        <v>1.23</v>
      </c>
      <c r="P77" s="2" t="s">
        <v>111</v>
      </c>
      <c r="Q77" s="8">
        <v>20</v>
      </c>
      <c r="R77" s="9" t="s">
        <v>187</v>
      </c>
      <c r="V7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P141"/>
  <sheetViews>
    <sheetView zoomScale="80" zoomScaleNormal="80" workbookViewId="0">
      <selection activeCell="A2" sqref="A2"/>
    </sheetView>
  </sheetViews>
  <sheetFormatPr defaultRowHeight="15" x14ac:dyDescent="0.25"/>
  <cols>
    <col min="1" max="1" width="18.85546875" customWidth="1"/>
    <col min="2" max="2" width="16.85546875" customWidth="1"/>
    <col min="3" max="3" width="46.28515625" customWidth="1"/>
    <col min="4" max="4" width="18.28515625" bestFit="1" customWidth="1"/>
    <col min="5" max="5" width="16.7109375" bestFit="1" customWidth="1"/>
    <col min="6" max="6" width="20.28515625" bestFit="1" customWidth="1"/>
    <col min="7" max="7" width="21.140625" bestFit="1" customWidth="1"/>
    <col min="8" max="8" width="25.28515625" customWidth="1"/>
    <col min="9" max="12" width="21.5703125" customWidth="1"/>
    <col min="13" max="13" width="23.85546875" customWidth="1"/>
    <col min="14" max="14" width="23.7109375" customWidth="1"/>
    <col min="15" max="15" width="29.85546875" customWidth="1"/>
    <col min="16" max="16" width="19" customWidth="1"/>
  </cols>
  <sheetData>
    <row r="1" spans="1:16" x14ac:dyDescent="0.25">
      <c r="A1" t="s">
        <v>161</v>
      </c>
      <c r="B1" t="s">
        <v>13</v>
      </c>
      <c r="C1" t="s">
        <v>14</v>
      </c>
      <c r="D1" t="s">
        <v>112</v>
      </c>
      <c r="E1" t="s">
        <v>2</v>
      </c>
      <c r="F1" t="s">
        <v>3</v>
      </c>
      <c r="G1" t="s">
        <v>4</v>
      </c>
      <c r="H1" t="s">
        <v>5</v>
      </c>
      <c r="I1">
        <v>0.8</v>
      </c>
      <c r="J1">
        <v>0.6</v>
      </c>
      <c r="K1">
        <v>0.4</v>
      </c>
      <c r="L1">
        <v>0.2</v>
      </c>
      <c r="M1" t="s">
        <v>113</v>
      </c>
      <c r="N1" t="s">
        <v>12</v>
      </c>
      <c r="O1" t="s">
        <v>183</v>
      </c>
      <c r="P1" t="s">
        <v>184</v>
      </c>
    </row>
    <row r="2" spans="1:16" x14ac:dyDescent="0.25">
      <c r="A2">
        <f t="shared" ref="A2:A41" si="0">(E2-10)*0.01*N2</f>
        <v>3.2500000000000001E-2</v>
      </c>
      <c r="B2" s="4" t="s">
        <v>114</v>
      </c>
      <c r="C2" s="1" t="s">
        <v>213</v>
      </c>
      <c r="D2" s="1">
        <v>15</v>
      </c>
      <c r="E2" s="1">
        <v>35</v>
      </c>
      <c r="F2" s="1">
        <v>60</v>
      </c>
      <c r="G2" s="1">
        <v>50</v>
      </c>
      <c r="H2" s="1">
        <v>180</v>
      </c>
      <c r="I2" s="3" t="s">
        <v>115</v>
      </c>
      <c r="J2" s="3" t="s">
        <v>116</v>
      </c>
      <c r="K2" s="3" t="s">
        <v>116</v>
      </c>
      <c r="L2" s="3" t="s">
        <v>116</v>
      </c>
      <c r="M2" s="1">
        <v>1</v>
      </c>
      <c r="N2" s="1">
        <v>0.13</v>
      </c>
      <c r="O2" s="1">
        <v>150</v>
      </c>
      <c r="P2" s="10" t="s">
        <v>185</v>
      </c>
    </row>
    <row r="3" spans="1:16" x14ac:dyDescent="0.25">
      <c r="A3">
        <f t="shared" si="0"/>
        <v>6.5000000000000002E-2</v>
      </c>
      <c r="B3" s="4" t="s">
        <v>117</v>
      </c>
      <c r="C3" s="1" t="s">
        <v>213</v>
      </c>
      <c r="D3" s="1">
        <v>15</v>
      </c>
      <c r="E3" s="1">
        <v>60</v>
      </c>
      <c r="F3" s="1">
        <v>60</v>
      </c>
      <c r="G3" s="1">
        <v>50</v>
      </c>
      <c r="H3" s="1">
        <v>180</v>
      </c>
      <c r="I3" s="3" t="s">
        <v>115</v>
      </c>
      <c r="J3" s="3" t="s">
        <v>116</v>
      </c>
      <c r="K3" s="3" t="s">
        <v>116</v>
      </c>
      <c r="L3" s="3" t="s">
        <v>116</v>
      </c>
      <c r="M3" s="1">
        <v>1</v>
      </c>
      <c r="N3" s="1">
        <v>0.13</v>
      </c>
      <c r="O3" s="1">
        <v>150</v>
      </c>
      <c r="P3" s="10" t="s">
        <v>185</v>
      </c>
    </row>
    <row r="4" spans="1:16" x14ac:dyDescent="0.25">
      <c r="A4">
        <f t="shared" si="0"/>
        <v>0.13</v>
      </c>
      <c r="B4" s="4" t="s">
        <v>118</v>
      </c>
      <c r="C4" s="1" t="s">
        <v>213</v>
      </c>
      <c r="D4" s="1">
        <v>15</v>
      </c>
      <c r="E4" s="1">
        <v>110</v>
      </c>
      <c r="F4" s="1">
        <v>60</v>
      </c>
      <c r="G4" s="1">
        <v>50</v>
      </c>
      <c r="H4" s="1">
        <v>180</v>
      </c>
      <c r="I4" s="3" t="s">
        <v>115</v>
      </c>
      <c r="J4" s="3" t="s">
        <v>116</v>
      </c>
      <c r="K4" s="3" t="s">
        <v>116</v>
      </c>
      <c r="L4" s="3" t="s">
        <v>116</v>
      </c>
      <c r="M4" s="1">
        <v>1</v>
      </c>
      <c r="N4" s="1">
        <v>0.13</v>
      </c>
      <c r="O4" s="1">
        <v>150</v>
      </c>
      <c r="P4" s="10" t="s">
        <v>185</v>
      </c>
    </row>
    <row r="5" spans="1:16" x14ac:dyDescent="0.25">
      <c r="A5">
        <f t="shared" si="0"/>
        <v>0.19500000000000001</v>
      </c>
      <c r="B5" s="4" t="s">
        <v>119</v>
      </c>
      <c r="C5" s="1" t="s">
        <v>213</v>
      </c>
      <c r="D5" s="1">
        <v>15</v>
      </c>
      <c r="E5" s="1">
        <v>160</v>
      </c>
      <c r="F5" s="1">
        <v>60</v>
      </c>
      <c r="G5" s="1">
        <v>50</v>
      </c>
      <c r="H5" s="1">
        <v>180</v>
      </c>
      <c r="I5" s="3" t="s">
        <v>115</v>
      </c>
      <c r="J5" s="3" t="s">
        <v>116</v>
      </c>
      <c r="K5" s="3" t="s">
        <v>116</v>
      </c>
      <c r="L5" s="3" t="s">
        <v>116</v>
      </c>
      <c r="M5" s="1">
        <v>1</v>
      </c>
      <c r="N5" s="1">
        <v>0.13</v>
      </c>
      <c r="O5" s="1">
        <v>150</v>
      </c>
      <c r="P5" s="10" t="s">
        <v>185</v>
      </c>
    </row>
    <row r="6" spans="1:16" x14ac:dyDescent="0.25">
      <c r="A6">
        <f t="shared" si="0"/>
        <v>3.2500000000000001E-2</v>
      </c>
      <c r="B6" s="2" t="s">
        <v>120</v>
      </c>
      <c r="C6" s="2" t="s">
        <v>214</v>
      </c>
      <c r="D6" s="2">
        <v>15</v>
      </c>
      <c r="E6" s="2">
        <v>35</v>
      </c>
      <c r="F6" s="2">
        <v>60</v>
      </c>
      <c r="G6" s="2">
        <v>50</v>
      </c>
      <c r="H6" s="2">
        <v>180</v>
      </c>
      <c r="I6" s="9" t="s">
        <v>115</v>
      </c>
      <c r="J6" s="9" t="s">
        <v>116</v>
      </c>
      <c r="K6" s="9" t="s">
        <v>116</v>
      </c>
      <c r="L6" s="9" t="s">
        <v>116</v>
      </c>
      <c r="M6" s="2">
        <v>0</v>
      </c>
      <c r="N6" s="2">
        <v>0.13</v>
      </c>
      <c r="O6" s="2">
        <v>150</v>
      </c>
      <c r="P6" s="10" t="s">
        <v>185</v>
      </c>
    </row>
    <row r="7" spans="1:16" x14ac:dyDescent="0.25">
      <c r="A7">
        <f t="shared" si="0"/>
        <v>6.5000000000000002E-2</v>
      </c>
      <c r="B7" s="2" t="s">
        <v>121</v>
      </c>
      <c r="C7" s="2" t="s">
        <v>214</v>
      </c>
      <c r="D7" s="2">
        <v>15</v>
      </c>
      <c r="E7" s="2">
        <v>60</v>
      </c>
      <c r="F7" s="2">
        <v>60</v>
      </c>
      <c r="G7" s="2">
        <v>50</v>
      </c>
      <c r="H7" s="2">
        <v>180</v>
      </c>
      <c r="I7" s="9" t="s">
        <v>115</v>
      </c>
      <c r="J7" s="9" t="s">
        <v>116</v>
      </c>
      <c r="K7" s="9" t="s">
        <v>116</v>
      </c>
      <c r="L7" s="9" t="s">
        <v>116</v>
      </c>
      <c r="M7" s="2">
        <v>0</v>
      </c>
      <c r="N7" s="2">
        <v>0.13</v>
      </c>
      <c r="O7" s="2">
        <v>150</v>
      </c>
      <c r="P7" s="10" t="s">
        <v>185</v>
      </c>
    </row>
    <row r="8" spans="1:16" x14ac:dyDescent="0.25">
      <c r="A8">
        <f t="shared" si="0"/>
        <v>0.13</v>
      </c>
      <c r="B8" s="2" t="s">
        <v>122</v>
      </c>
      <c r="C8" s="2" t="s">
        <v>214</v>
      </c>
      <c r="D8" s="2">
        <v>15</v>
      </c>
      <c r="E8" s="2">
        <v>110</v>
      </c>
      <c r="F8" s="2">
        <v>60</v>
      </c>
      <c r="G8" s="2">
        <v>50</v>
      </c>
      <c r="H8" s="2">
        <v>180</v>
      </c>
      <c r="I8" s="9" t="s">
        <v>115</v>
      </c>
      <c r="J8" s="9" t="s">
        <v>116</v>
      </c>
      <c r="K8" s="9" t="s">
        <v>116</v>
      </c>
      <c r="L8" s="9" t="s">
        <v>116</v>
      </c>
      <c r="M8" s="2">
        <v>0</v>
      </c>
      <c r="N8" s="2">
        <v>0.13</v>
      </c>
      <c r="O8" s="2">
        <v>150</v>
      </c>
      <c r="P8" s="10" t="s">
        <v>185</v>
      </c>
    </row>
    <row r="9" spans="1:16" x14ac:dyDescent="0.25">
      <c r="A9">
        <f t="shared" si="0"/>
        <v>0.19500000000000001</v>
      </c>
      <c r="B9" s="2" t="s">
        <v>123</v>
      </c>
      <c r="C9" s="2" t="s">
        <v>214</v>
      </c>
      <c r="D9" s="2">
        <v>15</v>
      </c>
      <c r="E9" s="2">
        <v>160</v>
      </c>
      <c r="F9" s="2">
        <v>60</v>
      </c>
      <c r="G9" s="2">
        <v>50</v>
      </c>
      <c r="H9" s="2">
        <v>180</v>
      </c>
      <c r="I9" s="9" t="s">
        <v>115</v>
      </c>
      <c r="J9" s="9" t="s">
        <v>116</v>
      </c>
      <c r="K9" s="9" t="s">
        <v>116</v>
      </c>
      <c r="L9" s="9" t="s">
        <v>116</v>
      </c>
      <c r="M9" s="2">
        <v>0</v>
      </c>
      <c r="N9" s="2">
        <v>0.13</v>
      </c>
      <c r="O9" s="2">
        <v>150</v>
      </c>
      <c r="P9" s="10" t="s">
        <v>185</v>
      </c>
    </row>
    <row r="10" spans="1:16" x14ac:dyDescent="0.25">
      <c r="A10">
        <f t="shared" si="0"/>
        <v>7.7499999999999999E-2</v>
      </c>
      <c r="B10" s="4" t="s">
        <v>124</v>
      </c>
      <c r="C10" t="s">
        <v>213</v>
      </c>
      <c r="D10">
        <v>40</v>
      </c>
      <c r="E10">
        <v>35</v>
      </c>
      <c r="F10">
        <v>60</v>
      </c>
      <c r="G10">
        <v>50</v>
      </c>
      <c r="H10">
        <v>180</v>
      </c>
      <c r="I10" s="5" t="s">
        <v>125</v>
      </c>
      <c r="J10" s="5" t="s">
        <v>125</v>
      </c>
      <c r="K10" s="5" t="s">
        <v>115</v>
      </c>
      <c r="L10" s="5" t="s">
        <v>115</v>
      </c>
      <c r="M10">
        <v>1</v>
      </c>
      <c r="N10">
        <v>0.31</v>
      </c>
      <c r="O10">
        <v>150</v>
      </c>
      <c r="P10" s="10" t="s">
        <v>186</v>
      </c>
    </row>
    <row r="11" spans="1:16" ht="15.75" customHeight="1" x14ac:dyDescent="0.25">
      <c r="A11">
        <f t="shared" si="0"/>
        <v>0.155</v>
      </c>
      <c r="B11" s="4" t="s">
        <v>126</v>
      </c>
      <c r="C11" t="s">
        <v>213</v>
      </c>
      <c r="D11">
        <v>40</v>
      </c>
      <c r="E11">
        <v>60</v>
      </c>
      <c r="F11">
        <v>60</v>
      </c>
      <c r="G11">
        <v>50</v>
      </c>
      <c r="H11">
        <v>180</v>
      </c>
      <c r="I11" s="5" t="s">
        <v>125</v>
      </c>
      <c r="J11" s="5" t="s">
        <v>125</v>
      </c>
      <c r="K11" s="5" t="s">
        <v>115</v>
      </c>
      <c r="L11" s="5" t="s">
        <v>115</v>
      </c>
      <c r="M11">
        <v>1</v>
      </c>
      <c r="N11">
        <v>0.31</v>
      </c>
      <c r="O11">
        <v>150</v>
      </c>
      <c r="P11" s="10" t="s">
        <v>186</v>
      </c>
    </row>
    <row r="12" spans="1:16" x14ac:dyDescent="0.25">
      <c r="A12">
        <f t="shared" si="0"/>
        <v>0.31</v>
      </c>
      <c r="B12" s="4" t="s">
        <v>127</v>
      </c>
      <c r="C12" t="s">
        <v>213</v>
      </c>
      <c r="D12">
        <v>40</v>
      </c>
      <c r="E12">
        <v>110</v>
      </c>
      <c r="F12">
        <v>60</v>
      </c>
      <c r="G12">
        <v>50</v>
      </c>
      <c r="H12">
        <v>180</v>
      </c>
      <c r="I12" s="5" t="s">
        <v>125</v>
      </c>
      <c r="J12" s="5" t="s">
        <v>125</v>
      </c>
      <c r="K12" s="5" t="s">
        <v>115</v>
      </c>
      <c r="L12" s="5" t="s">
        <v>115</v>
      </c>
      <c r="M12">
        <v>1</v>
      </c>
      <c r="N12">
        <v>0.31</v>
      </c>
      <c r="O12">
        <v>150</v>
      </c>
      <c r="P12" s="10" t="s">
        <v>186</v>
      </c>
    </row>
    <row r="13" spans="1:16" x14ac:dyDescent="0.25">
      <c r="A13">
        <f t="shared" si="0"/>
        <v>0.46499999999999997</v>
      </c>
      <c r="B13" s="4" t="s">
        <v>128</v>
      </c>
      <c r="C13" t="s">
        <v>213</v>
      </c>
      <c r="D13">
        <v>40</v>
      </c>
      <c r="E13">
        <v>160</v>
      </c>
      <c r="F13">
        <v>60</v>
      </c>
      <c r="G13">
        <v>50</v>
      </c>
      <c r="H13">
        <v>180</v>
      </c>
      <c r="I13" s="5" t="s">
        <v>125</v>
      </c>
      <c r="J13" s="5" t="s">
        <v>125</v>
      </c>
      <c r="K13" s="5" t="s">
        <v>115</v>
      </c>
      <c r="L13" s="5" t="s">
        <v>115</v>
      </c>
      <c r="M13">
        <v>1</v>
      </c>
      <c r="N13">
        <v>0.31</v>
      </c>
      <c r="O13">
        <v>150</v>
      </c>
      <c r="P13" s="10" t="s">
        <v>186</v>
      </c>
    </row>
    <row r="14" spans="1:16" x14ac:dyDescent="0.25">
      <c r="A14">
        <f t="shared" si="0"/>
        <v>7.7499999999999999E-2</v>
      </c>
      <c r="B14" s="2" t="s">
        <v>129</v>
      </c>
      <c r="C14" s="2" t="s">
        <v>214</v>
      </c>
      <c r="D14" s="2">
        <v>40</v>
      </c>
      <c r="E14" s="2">
        <v>35</v>
      </c>
      <c r="F14" s="2">
        <v>60</v>
      </c>
      <c r="G14" s="2">
        <v>50</v>
      </c>
      <c r="H14" s="2">
        <v>180</v>
      </c>
      <c r="I14" s="9" t="s">
        <v>125</v>
      </c>
      <c r="J14" s="9" t="s">
        <v>125</v>
      </c>
      <c r="K14" s="9" t="s">
        <v>115</v>
      </c>
      <c r="L14" s="9" t="s">
        <v>115</v>
      </c>
      <c r="M14" s="2">
        <v>0</v>
      </c>
      <c r="N14" s="2">
        <v>0.31</v>
      </c>
      <c r="O14" s="2">
        <v>150</v>
      </c>
      <c r="P14" s="10" t="s">
        <v>186</v>
      </c>
    </row>
    <row r="15" spans="1:16" x14ac:dyDescent="0.25">
      <c r="A15">
        <f t="shared" si="0"/>
        <v>0.155</v>
      </c>
      <c r="B15" s="2" t="s">
        <v>130</v>
      </c>
      <c r="C15" s="2" t="s">
        <v>214</v>
      </c>
      <c r="D15" s="2">
        <v>40</v>
      </c>
      <c r="E15" s="2">
        <v>60</v>
      </c>
      <c r="F15" s="2">
        <v>60</v>
      </c>
      <c r="G15" s="2">
        <v>50</v>
      </c>
      <c r="H15" s="2">
        <v>180</v>
      </c>
      <c r="I15" s="9" t="s">
        <v>125</v>
      </c>
      <c r="J15" s="9" t="s">
        <v>125</v>
      </c>
      <c r="K15" s="9" t="s">
        <v>115</v>
      </c>
      <c r="L15" s="9" t="s">
        <v>115</v>
      </c>
      <c r="M15" s="2">
        <v>0</v>
      </c>
      <c r="N15" s="2">
        <v>0.31</v>
      </c>
      <c r="O15" s="2">
        <v>150</v>
      </c>
      <c r="P15" s="10" t="s">
        <v>186</v>
      </c>
    </row>
    <row r="16" spans="1:16" x14ac:dyDescent="0.25">
      <c r="A16">
        <f t="shared" si="0"/>
        <v>0.31</v>
      </c>
      <c r="B16" s="2" t="s">
        <v>131</v>
      </c>
      <c r="C16" s="2" t="s">
        <v>214</v>
      </c>
      <c r="D16" s="2">
        <v>40</v>
      </c>
      <c r="E16" s="2">
        <v>110</v>
      </c>
      <c r="F16" s="2">
        <v>60</v>
      </c>
      <c r="G16" s="2">
        <v>50</v>
      </c>
      <c r="H16" s="2">
        <v>180</v>
      </c>
      <c r="I16" s="9" t="s">
        <v>125</v>
      </c>
      <c r="J16" s="9" t="s">
        <v>125</v>
      </c>
      <c r="K16" s="9" t="s">
        <v>115</v>
      </c>
      <c r="L16" s="9" t="s">
        <v>115</v>
      </c>
      <c r="M16" s="2">
        <v>0</v>
      </c>
      <c r="N16" s="2">
        <v>0.31</v>
      </c>
      <c r="O16" s="2">
        <v>150</v>
      </c>
      <c r="P16" s="10" t="s">
        <v>186</v>
      </c>
    </row>
    <row r="17" spans="1:16" x14ac:dyDescent="0.25">
      <c r="A17">
        <f t="shared" si="0"/>
        <v>0.46499999999999997</v>
      </c>
      <c r="B17" s="2" t="s">
        <v>132</v>
      </c>
      <c r="C17" s="2" t="s">
        <v>214</v>
      </c>
      <c r="D17" s="2">
        <v>40</v>
      </c>
      <c r="E17" s="2">
        <v>160</v>
      </c>
      <c r="F17" s="2">
        <v>60</v>
      </c>
      <c r="G17" s="2">
        <v>50</v>
      </c>
      <c r="H17" s="2">
        <v>180</v>
      </c>
      <c r="I17" s="9" t="s">
        <v>125</v>
      </c>
      <c r="J17" s="9" t="s">
        <v>125</v>
      </c>
      <c r="K17" s="9" t="s">
        <v>115</v>
      </c>
      <c r="L17" s="9" t="s">
        <v>115</v>
      </c>
      <c r="M17" s="2">
        <v>0</v>
      </c>
      <c r="N17" s="2">
        <v>0.31</v>
      </c>
      <c r="O17" s="2">
        <v>150</v>
      </c>
      <c r="P17" s="10" t="s">
        <v>186</v>
      </c>
    </row>
    <row r="18" spans="1:16" x14ac:dyDescent="0.25">
      <c r="A18">
        <f t="shared" si="0"/>
        <v>0.125</v>
      </c>
      <c r="B18" s="4" t="s">
        <v>133</v>
      </c>
      <c r="C18" t="s">
        <v>213</v>
      </c>
      <c r="D18">
        <v>60</v>
      </c>
      <c r="E18">
        <v>35</v>
      </c>
      <c r="F18">
        <v>60</v>
      </c>
      <c r="G18">
        <v>50</v>
      </c>
      <c r="H18">
        <v>180</v>
      </c>
      <c r="I18" s="5" t="s">
        <v>134</v>
      </c>
      <c r="J18" s="5" t="s">
        <v>125</v>
      </c>
      <c r="K18" s="5" t="s">
        <v>125</v>
      </c>
      <c r="L18" s="5" t="s">
        <v>115</v>
      </c>
      <c r="M18">
        <v>1</v>
      </c>
      <c r="N18">
        <v>0.5</v>
      </c>
      <c r="O18">
        <v>150</v>
      </c>
      <c r="P18" s="10" t="s">
        <v>186</v>
      </c>
    </row>
    <row r="19" spans="1:16" x14ac:dyDescent="0.25">
      <c r="A19">
        <f t="shared" si="0"/>
        <v>0.25</v>
      </c>
      <c r="B19" s="4" t="s">
        <v>135</v>
      </c>
      <c r="C19" t="s">
        <v>213</v>
      </c>
      <c r="D19">
        <v>60</v>
      </c>
      <c r="E19">
        <v>60</v>
      </c>
      <c r="F19">
        <v>60</v>
      </c>
      <c r="G19">
        <v>50</v>
      </c>
      <c r="H19">
        <v>180</v>
      </c>
      <c r="I19" s="5" t="s">
        <v>134</v>
      </c>
      <c r="J19" s="5" t="s">
        <v>125</v>
      </c>
      <c r="K19" s="5" t="s">
        <v>125</v>
      </c>
      <c r="L19" s="5" t="s">
        <v>115</v>
      </c>
      <c r="M19">
        <v>1</v>
      </c>
      <c r="N19">
        <v>0.5</v>
      </c>
      <c r="O19">
        <v>150</v>
      </c>
      <c r="P19" s="10" t="s">
        <v>186</v>
      </c>
    </row>
    <row r="20" spans="1:16" x14ac:dyDescent="0.25">
      <c r="A20">
        <f t="shared" si="0"/>
        <v>0.5</v>
      </c>
      <c r="B20" s="4" t="s">
        <v>136</v>
      </c>
      <c r="C20" t="s">
        <v>213</v>
      </c>
      <c r="D20">
        <v>60</v>
      </c>
      <c r="E20">
        <v>110</v>
      </c>
      <c r="F20">
        <v>60</v>
      </c>
      <c r="G20">
        <v>50</v>
      </c>
      <c r="H20">
        <v>180</v>
      </c>
      <c r="I20" s="5" t="s">
        <v>134</v>
      </c>
      <c r="J20" s="5" t="s">
        <v>125</v>
      </c>
      <c r="K20" s="5" t="s">
        <v>125</v>
      </c>
      <c r="L20" s="5" t="s">
        <v>115</v>
      </c>
      <c r="M20">
        <v>1</v>
      </c>
      <c r="N20">
        <v>0.5</v>
      </c>
      <c r="O20">
        <v>150</v>
      </c>
      <c r="P20" s="10" t="s">
        <v>186</v>
      </c>
    </row>
    <row r="21" spans="1:16" x14ac:dyDescent="0.25">
      <c r="A21">
        <f t="shared" si="0"/>
        <v>0.75</v>
      </c>
      <c r="B21" s="4" t="s">
        <v>137</v>
      </c>
      <c r="C21" t="s">
        <v>213</v>
      </c>
      <c r="D21">
        <v>60</v>
      </c>
      <c r="E21">
        <v>160</v>
      </c>
      <c r="F21">
        <v>60</v>
      </c>
      <c r="G21">
        <v>50</v>
      </c>
      <c r="H21">
        <v>180</v>
      </c>
      <c r="I21" s="5" t="s">
        <v>134</v>
      </c>
      <c r="J21" s="5" t="s">
        <v>125</v>
      </c>
      <c r="K21" s="5" t="s">
        <v>125</v>
      </c>
      <c r="L21" s="5" t="s">
        <v>115</v>
      </c>
      <c r="M21">
        <v>1</v>
      </c>
      <c r="N21">
        <v>0.5</v>
      </c>
      <c r="O21">
        <v>150</v>
      </c>
      <c r="P21" s="10" t="s">
        <v>186</v>
      </c>
    </row>
    <row r="22" spans="1:16" x14ac:dyDescent="0.25">
      <c r="A22">
        <f t="shared" si="0"/>
        <v>0.125</v>
      </c>
      <c r="B22" s="2" t="s">
        <v>138</v>
      </c>
      <c r="C22" s="2" t="s">
        <v>214</v>
      </c>
      <c r="D22" s="2">
        <v>60</v>
      </c>
      <c r="E22" s="2">
        <v>35</v>
      </c>
      <c r="F22" s="2">
        <v>60</v>
      </c>
      <c r="G22" s="2">
        <v>50</v>
      </c>
      <c r="H22" s="2">
        <v>180</v>
      </c>
      <c r="I22" s="9" t="s">
        <v>134</v>
      </c>
      <c r="J22" s="9" t="s">
        <v>125</v>
      </c>
      <c r="K22" s="9" t="s">
        <v>125</v>
      </c>
      <c r="L22" s="9" t="s">
        <v>115</v>
      </c>
      <c r="M22" s="2">
        <v>0</v>
      </c>
      <c r="N22" s="2">
        <v>0.5</v>
      </c>
      <c r="O22" s="2">
        <v>150</v>
      </c>
      <c r="P22" s="10" t="s">
        <v>186</v>
      </c>
    </row>
    <row r="23" spans="1:16" x14ac:dyDescent="0.25">
      <c r="A23">
        <f t="shared" si="0"/>
        <v>0.25</v>
      </c>
      <c r="B23" s="2" t="s">
        <v>139</v>
      </c>
      <c r="C23" s="2" t="s">
        <v>214</v>
      </c>
      <c r="D23" s="2">
        <v>60</v>
      </c>
      <c r="E23" s="2">
        <v>60</v>
      </c>
      <c r="F23" s="2">
        <v>60</v>
      </c>
      <c r="G23" s="2">
        <v>50</v>
      </c>
      <c r="H23" s="2">
        <v>180</v>
      </c>
      <c r="I23" s="9" t="s">
        <v>134</v>
      </c>
      <c r="J23" s="9" t="s">
        <v>125</v>
      </c>
      <c r="K23" s="9" t="s">
        <v>125</v>
      </c>
      <c r="L23" s="9" t="s">
        <v>115</v>
      </c>
      <c r="M23" s="2">
        <v>0</v>
      </c>
      <c r="N23" s="2">
        <v>0.5</v>
      </c>
      <c r="O23" s="2">
        <v>150</v>
      </c>
      <c r="P23" s="10" t="s">
        <v>186</v>
      </c>
    </row>
    <row r="24" spans="1:16" x14ac:dyDescent="0.25">
      <c r="A24">
        <f t="shared" si="0"/>
        <v>0.5</v>
      </c>
      <c r="B24" s="2" t="s">
        <v>140</v>
      </c>
      <c r="C24" s="2" t="s">
        <v>214</v>
      </c>
      <c r="D24" s="2">
        <v>60</v>
      </c>
      <c r="E24" s="2">
        <v>110</v>
      </c>
      <c r="F24" s="2">
        <v>60</v>
      </c>
      <c r="G24" s="2">
        <v>50</v>
      </c>
      <c r="H24" s="2">
        <v>180</v>
      </c>
      <c r="I24" s="9" t="s">
        <v>134</v>
      </c>
      <c r="J24" s="9" t="s">
        <v>125</v>
      </c>
      <c r="K24" s="9" t="s">
        <v>125</v>
      </c>
      <c r="L24" s="9" t="s">
        <v>115</v>
      </c>
      <c r="M24" s="2">
        <v>0</v>
      </c>
      <c r="N24" s="2">
        <v>0.5</v>
      </c>
      <c r="O24" s="2">
        <v>150</v>
      </c>
      <c r="P24" s="10" t="s">
        <v>186</v>
      </c>
    </row>
    <row r="25" spans="1:16" x14ac:dyDescent="0.25">
      <c r="A25">
        <f t="shared" si="0"/>
        <v>0.75</v>
      </c>
      <c r="B25" s="2" t="s">
        <v>141</v>
      </c>
      <c r="C25" s="2" t="s">
        <v>214</v>
      </c>
      <c r="D25" s="2">
        <v>60</v>
      </c>
      <c r="E25" s="2">
        <v>160</v>
      </c>
      <c r="F25" s="2">
        <v>60</v>
      </c>
      <c r="G25" s="2">
        <v>50</v>
      </c>
      <c r="H25" s="2">
        <v>180</v>
      </c>
      <c r="I25" s="9" t="s">
        <v>134</v>
      </c>
      <c r="J25" s="9" t="s">
        <v>125</v>
      </c>
      <c r="K25" s="9" t="s">
        <v>125</v>
      </c>
      <c r="L25" s="9" t="s">
        <v>115</v>
      </c>
      <c r="M25" s="2">
        <v>0</v>
      </c>
      <c r="N25" s="2">
        <v>0.5</v>
      </c>
      <c r="O25" s="2">
        <v>150</v>
      </c>
      <c r="P25" s="10" t="s">
        <v>186</v>
      </c>
    </row>
    <row r="26" spans="1:16" x14ac:dyDescent="0.25">
      <c r="A26">
        <f t="shared" si="0"/>
        <v>0.19750000000000001</v>
      </c>
      <c r="B26" s="4" t="s">
        <v>142</v>
      </c>
      <c r="C26" t="s">
        <v>213</v>
      </c>
      <c r="D26">
        <v>90</v>
      </c>
      <c r="E26">
        <v>35</v>
      </c>
      <c r="F26">
        <v>30</v>
      </c>
      <c r="G26">
        <v>50</v>
      </c>
      <c r="H26">
        <v>180</v>
      </c>
      <c r="I26" s="5" t="s">
        <v>134</v>
      </c>
      <c r="J26" s="5" t="s">
        <v>134</v>
      </c>
      <c r="K26" s="5" t="s">
        <v>125</v>
      </c>
      <c r="L26" s="5" t="s">
        <v>115</v>
      </c>
      <c r="M26">
        <v>1</v>
      </c>
      <c r="N26">
        <v>0.79</v>
      </c>
      <c r="O26">
        <v>150</v>
      </c>
      <c r="P26" s="10" t="s">
        <v>186</v>
      </c>
    </row>
    <row r="27" spans="1:16" x14ac:dyDescent="0.25">
      <c r="A27">
        <f t="shared" si="0"/>
        <v>0.39500000000000002</v>
      </c>
      <c r="B27" s="4" t="s">
        <v>143</v>
      </c>
      <c r="C27" t="s">
        <v>213</v>
      </c>
      <c r="D27">
        <v>90</v>
      </c>
      <c r="E27">
        <v>60</v>
      </c>
      <c r="F27">
        <v>30</v>
      </c>
      <c r="G27">
        <v>50</v>
      </c>
      <c r="H27">
        <v>180</v>
      </c>
      <c r="I27" s="5" t="s">
        <v>134</v>
      </c>
      <c r="J27" s="5" t="s">
        <v>134</v>
      </c>
      <c r="K27" s="5" t="s">
        <v>125</v>
      </c>
      <c r="L27" s="5" t="s">
        <v>115</v>
      </c>
      <c r="M27">
        <v>1</v>
      </c>
      <c r="N27">
        <v>0.79</v>
      </c>
      <c r="O27">
        <v>150</v>
      </c>
      <c r="P27" s="10" t="s">
        <v>186</v>
      </c>
    </row>
    <row r="28" spans="1:16" x14ac:dyDescent="0.25">
      <c r="A28">
        <f t="shared" si="0"/>
        <v>0.79</v>
      </c>
      <c r="B28" s="4" t="s">
        <v>144</v>
      </c>
      <c r="C28" t="s">
        <v>213</v>
      </c>
      <c r="D28">
        <v>90</v>
      </c>
      <c r="E28">
        <v>110</v>
      </c>
      <c r="F28">
        <v>30</v>
      </c>
      <c r="G28">
        <v>50</v>
      </c>
      <c r="H28">
        <v>180</v>
      </c>
      <c r="I28" s="5" t="s">
        <v>134</v>
      </c>
      <c r="J28" s="5" t="s">
        <v>134</v>
      </c>
      <c r="K28" s="5" t="s">
        <v>125</v>
      </c>
      <c r="L28" s="5" t="s">
        <v>115</v>
      </c>
      <c r="M28">
        <v>1</v>
      </c>
      <c r="N28">
        <v>0.79</v>
      </c>
      <c r="O28">
        <v>150</v>
      </c>
      <c r="P28" s="10" t="s">
        <v>186</v>
      </c>
    </row>
    <row r="29" spans="1:16" x14ac:dyDescent="0.25">
      <c r="A29">
        <f t="shared" si="0"/>
        <v>1.1850000000000001</v>
      </c>
      <c r="B29" s="4" t="s">
        <v>145</v>
      </c>
      <c r="C29" t="s">
        <v>213</v>
      </c>
      <c r="D29">
        <v>90</v>
      </c>
      <c r="E29">
        <v>160</v>
      </c>
      <c r="F29">
        <v>30</v>
      </c>
      <c r="G29">
        <v>50</v>
      </c>
      <c r="H29">
        <v>180</v>
      </c>
      <c r="I29" s="5" t="s">
        <v>134</v>
      </c>
      <c r="J29" s="5" t="s">
        <v>134</v>
      </c>
      <c r="K29" s="5" t="s">
        <v>125</v>
      </c>
      <c r="L29" s="5" t="s">
        <v>115</v>
      </c>
      <c r="M29">
        <v>1</v>
      </c>
      <c r="N29">
        <v>0.79</v>
      </c>
      <c r="O29">
        <v>150</v>
      </c>
      <c r="P29" s="10" t="s">
        <v>186</v>
      </c>
    </row>
    <row r="30" spans="1:16" x14ac:dyDescent="0.25">
      <c r="A30">
        <f t="shared" si="0"/>
        <v>0.19750000000000001</v>
      </c>
      <c r="B30" s="2" t="s">
        <v>146</v>
      </c>
      <c r="C30" s="2" t="s">
        <v>214</v>
      </c>
      <c r="D30" s="2">
        <v>90</v>
      </c>
      <c r="E30" s="2">
        <v>35</v>
      </c>
      <c r="F30" s="2">
        <v>30</v>
      </c>
      <c r="G30" s="2">
        <v>50</v>
      </c>
      <c r="H30" s="2">
        <v>180</v>
      </c>
      <c r="I30" s="9" t="s">
        <v>134</v>
      </c>
      <c r="J30" s="9" t="s">
        <v>134</v>
      </c>
      <c r="K30" s="9" t="s">
        <v>125</v>
      </c>
      <c r="L30" s="9" t="s">
        <v>115</v>
      </c>
      <c r="M30" s="2">
        <v>0</v>
      </c>
      <c r="N30" s="2">
        <v>0.79</v>
      </c>
      <c r="O30" s="2">
        <v>150</v>
      </c>
      <c r="P30" s="10" t="s">
        <v>186</v>
      </c>
    </row>
    <row r="31" spans="1:16" x14ac:dyDescent="0.25">
      <c r="A31">
        <f t="shared" si="0"/>
        <v>0.39500000000000002</v>
      </c>
      <c r="B31" s="2" t="s">
        <v>147</v>
      </c>
      <c r="C31" s="2" t="s">
        <v>214</v>
      </c>
      <c r="D31" s="2">
        <v>90</v>
      </c>
      <c r="E31" s="2">
        <v>60</v>
      </c>
      <c r="F31" s="2">
        <v>30</v>
      </c>
      <c r="G31" s="2">
        <v>50</v>
      </c>
      <c r="H31" s="2">
        <v>180</v>
      </c>
      <c r="I31" s="9" t="s">
        <v>134</v>
      </c>
      <c r="J31" s="9" t="s">
        <v>134</v>
      </c>
      <c r="K31" s="9" t="s">
        <v>125</v>
      </c>
      <c r="L31" s="9" t="s">
        <v>115</v>
      </c>
      <c r="M31" s="2">
        <v>0</v>
      </c>
      <c r="N31" s="2">
        <v>0.79</v>
      </c>
      <c r="O31" s="2">
        <v>150</v>
      </c>
      <c r="P31" s="10" t="s">
        <v>186</v>
      </c>
    </row>
    <row r="32" spans="1:16" x14ac:dyDescent="0.25">
      <c r="A32">
        <f t="shared" si="0"/>
        <v>0.79</v>
      </c>
      <c r="B32" s="2" t="s">
        <v>148</v>
      </c>
      <c r="C32" s="2" t="s">
        <v>214</v>
      </c>
      <c r="D32" s="2">
        <v>90</v>
      </c>
      <c r="E32" s="2">
        <v>110</v>
      </c>
      <c r="F32" s="2">
        <v>30</v>
      </c>
      <c r="G32" s="2">
        <v>50</v>
      </c>
      <c r="H32" s="2">
        <v>180</v>
      </c>
      <c r="I32" s="9" t="s">
        <v>134</v>
      </c>
      <c r="J32" s="9" t="s">
        <v>134</v>
      </c>
      <c r="K32" s="9" t="s">
        <v>125</v>
      </c>
      <c r="L32" s="9" t="s">
        <v>115</v>
      </c>
      <c r="M32" s="2">
        <v>0</v>
      </c>
      <c r="N32" s="2">
        <v>0.79</v>
      </c>
      <c r="O32" s="2">
        <v>150</v>
      </c>
      <c r="P32" s="10" t="s">
        <v>186</v>
      </c>
    </row>
    <row r="33" spans="1:16" x14ac:dyDescent="0.25">
      <c r="A33">
        <f t="shared" si="0"/>
        <v>1.1850000000000001</v>
      </c>
      <c r="B33" s="2" t="s">
        <v>149</v>
      </c>
      <c r="C33" s="2" t="s">
        <v>214</v>
      </c>
      <c r="D33" s="2">
        <v>90</v>
      </c>
      <c r="E33" s="2">
        <v>160</v>
      </c>
      <c r="F33" s="2">
        <v>30</v>
      </c>
      <c r="G33" s="2">
        <v>50</v>
      </c>
      <c r="H33" s="2">
        <v>180</v>
      </c>
      <c r="I33" s="9" t="s">
        <v>134</v>
      </c>
      <c r="J33" s="9" t="s">
        <v>134</v>
      </c>
      <c r="K33" s="9" t="s">
        <v>125</v>
      </c>
      <c r="L33" s="9" t="s">
        <v>115</v>
      </c>
      <c r="M33" s="2">
        <v>0</v>
      </c>
      <c r="N33" s="2">
        <v>0.79</v>
      </c>
      <c r="O33" s="2">
        <v>150</v>
      </c>
      <c r="P33" s="10" t="s">
        <v>186</v>
      </c>
    </row>
    <row r="34" spans="1:16" x14ac:dyDescent="0.25">
      <c r="A34">
        <f t="shared" si="0"/>
        <v>0.3075</v>
      </c>
      <c r="B34" s="4" t="s">
        <v>150</v>
      </c>
      <c r="C34" t="s">
        <v>213</v>
      </c>
      <c r="D34">
        <v>150</v>
      </c>
      <c r="E34">
        <v>35</v>
      </c>
      <c r="F34">
        <v>30</v>
      </c>
      <c r="G34">
        <v>50</v>
      </c>
      <c r="H34">
        <v>180</v>
      </c>
      <c r="I34" s="5" t="s">
        <v>151</v>
      </c>
      <c r="J34" s="5" t="s">
        <v>151</v>
      </c>
      <c r="K34" s="5" t="s">
        <v>134</v>
      </c>
      <c r="L34" s="5" t="s">
        <v>125</v>
      </c>
      <c r="M34">
        <v>1</v>
      </c>
      <c r="N34">
        <v>1.23</v>
      </c>
      <c r="O34">
        <v>150</v>
      </c>
      <c r="P34" s="10" t="s">
        <v>187</v>
      </c>
    </row>
    <row r="35" spans="1:16" x14ac:dyDescent="0.25">
      <c r="A35">
        <f t="shared" si="0"/>
        <v>0.61499999999999999</v>
      </c>
      <c r="B35" s="4" t="s">
        <v>152</v>
      </c>
      <c r="C35" t="s">
        <v>213</v>
      </c>
      <c r="D35">
        <v>150</v>
      </c>
      <c r="E35">
        <v>60</v>
      </c>
      <c r="F35">
        <v>30</v>
      </c>
      <c r="G35">
        <v>50</v>
      </c>
      <c r="H35">
        <v>180</v>
      </c>
      <c r="I35" s="5" t="s">
        <v>151</v>
      </c>
      <c r="J35" s="5" t="s">
        <v>151</v>
      </c>
      <c r="K35" s="5" t="s">
        <v>134</v>
      </c>
      <c r="L35" s="5" t="s">
        <v>125</v>
      </c>
      <c r="M35">
        <v>1</v>
      </c>
      <c r="N35">
        <v>1.23</v>
      </c>
      <c r="O35">
        <v>150</v>
      </c>
      <c r="P35" s="10" t="s">
        <v>187</v>
      </c>
    </row>
    <row r="36" spans="1:16" x14ac:dyDescent="0.25">
      <c r="A36">
        <f t="shared" si="0"/>
        <v>1.23</v>
      </c>
      <c r="B36" s="4" t="s">
        <v>153</v>
      </c>
      <c r="C36" t="s">
        <v>213</v>
      </c>
      <c r="D36">
        <v>150</v>
      </c>
      <c r="E36">
        <v>110</v>
      </c>
      <c r="F36">
        <v>30</v>
      </c>
      <c r="G36">
        <v>50</v>
      </c>
      <c r="H36">
        <v>180</v>
      </c>
      <c r="I36" s="5" t="s">
        <v>151</v>
      </c>
      <c r="J36" s="5" t="s">
        <v>151</v>
      </c>
      <c r="K36" s="5" t="s">
        <v>134</v>
      </c>
      <c r="L36" s="5" t="s">
        <v>125</v>
      </c>
      <c r="M36">
        <v>1</v>
      </c>
      <c r="N36">
        <v>1.23</v>
      </c>
      <c r="O36">
        <v>150</v>
      </c>
      <c r="P36" s="10" t="s">
        <v>187</v>
      </c>
    </row>
    <row r="37" spans="1:16" x14ac:dyDescent="0.25">
      <c r="A37">
        <f t="shared" si="0"/>
        <v>1.845</v>
      </c>
      <c r="B37" s="4" t="s">
        <v>154</v>
      </c>
      <c r="C37" t="s">
        <v>213</v>
      </c>
      <c r="D37">
        <v>150</v>
      </c>
      <c r="E37">
        <v>160</v>
      </c>
      <c r="F37">
        <v>30</v>
      </c>
      <c r="G37">
        <v>50</v>
      </c>
      <c r="H37">
        <v>180</v>
      </c>
      <c r="I37" s="5" t="s">
        <v>151</v>
      </c>
      <c r="J37" s="5" t="s">
        <v>151</v>
      </c>
      <c r="K37" s="5" t="s">
        <v>134</v>
      </c>
      <c r="L37" s="5" t="s">
        <v>125</v>
      </c>
      <c r="M37">
        <v>1</v>
      </c>
      <c r="N37">
        <v>1.23</v>
      </c>
      <c r="O37">
        <v>150</v>
      </c>
      <c r="P37" s="10" t="s">
        <v>187</v>
      </c>
    </row>
    <row r="38" spans="1:16" x14ac:dyDescent="0.25">
      <c r="A38">
        <f t="shared" si="0"/>
        <v>0.3075</v>
      </c>
      <c r="B38" s="2" t="s">
        <v>155</v>
      </c>
      <c r="C38" s="2" t="s">
        <v>214</v>
      </c>
      <c r="D38" s="2">
        <v>150</v>
      </c>
      <c r="E38" s="2">
        <v>35</v>
      </c>
      <c r="F38" s="2">
        <v>30</v>
      </c>
      <c r="G38" s="2">
        <v>50</v>
      </c>
      <c r="H38" s="2">
        <v>180</v>
      </c>
      <c r="I38" s="9" t="s">
        <v>151</v>
      </c>
      <c r="J38" s="9" t="s">
        <v>151</v>
      </c>
      <c r="K38" s="9" t="s">
        <v>134</v>
      </c>
      <c r="L38" s="9" t="s">
        <v>125</v>
      </c>
      <c r="M38" s="2">
        <v>0</v>
      </c>
      <c r="N38" s="2">
        <v>1.23</v>
      </c>
      <c r="O38" s="2">
        <v>150</v>
      </c>
      <c r="P38" s="10" t="s">
        <v>187</v>
      </c>
    </row>
    <row r="39" spans="1:16" x14ac:dyDescent="0.25">
      <c r="A39">
        <f t="shared" si="0"/>
        <v>0.61499999999999999</v>
      </c>
      <c r="B39" s="2" t="s">
        <v>156</v>
      </c>
      <c r="C39" s="2" t="s">
        <v>214</v>
      </c>
      <c r="D39" s="2">
        <v>150</v>
      </c>
      <c r="E39" s="2">
        <v>60</v>
      </c>
      <c r="F39" s="2">
        <v>30</v>
      </c>
      <c r="G39" s="2">
        <v>50</v>
      </c>
      <c r="H39" s="2">
        <v>180</v>
      </c>
      <c r="I39" s="9" t="s">
        <v>151</v>
      </c>
      <c r="J39" s="9" t="s">
        <v>151</v>
      </c>
      <c r="K39" s="9" t="s">
        <v>134</v>
      </c>
      <c r="L39" s="9" t="s">
        <v>125</v>
      </c>
      <c r="M39" s="2">
        <v>0</v>
      </c>
      <c r="N39" s="2">
        <v>1.23</v>
      </c>
      <c r="O39" s="2">
        <v>150</v>
      </c>
      <c r="P39" s="10" t="s">
        <v>187</v>
      </c>
    </row>
    <row r="40" spans="1:16" x14ac:dyDescent="0.25">
      <c r="A40">
        <f t="shared" si="0"/>
        <v>1.23</v>
      </c>
      <c r="B40" s="2" t="s">
        <v>157</v>
      </c>
      <c r="C40" s="2" t="s">
        <v>214</v>
      </c>
      <c r="D40" s="2">
        <v>150</v>
      </c>
      <c r="E40" s="2">
        <v>110</v>
      </c>
      <c r="F40" s="2">
        <v>30</v>
      </c>
      <c r="G40" s="2">
        <v>50</v>
      </c>
      <c r="H40" s="2">
        <v>180</v>
      </c>
      <c r="I40" s="9" t="s">
        <v>151</v>
      </c>
      <c r="J40" s="9" t="s">
        <v>151</v>
      </c>
      <c r="K40" s="9" t="s">
        <v>134</v>
      </c>
      <c r="L40" s="9" t="s">
        <v>125</v>
      </c>
      <c r="M40" s="2">
        <v>0</v>
      </c>
      <c r="N40" s="2">
        <v>1.23</v>
      </c>
      <c r="O40" s="2">
        <v>150</v>
      </c>
      <c r="P40" s="10" t="s">
        <v>187</v>
      </c>
    </row>
    <row r="41" spans="1:16" x14ac:dyDescent="0.25">
      <c r="A41">
        <f t="shared" si="0"/>
        <v>1.845</v>
      </c>
      <c r="B41" s="2" t="s">
        <v>158</v>
      </c>
      <c r="C41" s="2" t="s">
        <v>214</v>
      </c>
      <c r="D41" s="2">
        <v>150</v>
      </c>
      <c r="E41" s="2">
        <v>160</v>
      </c>
      <c r="F41" s="2">
        <v>30</v>
      </c>
      <c r="G41" s="2">
        <v>50</v>
      </c>
      <c r="H41" s="2">
        <v>180</v>
      </c>
      <c r="I41" s="9" t="s">
        <v>151</v>
      </c>
      <c r="J41" s="9" t="s">
        <v>151</v>
      </c>
      <c r="K41" s="9" t="s">
        <v>134</v>
      </c>
      <c r="L41" s="9" t="s">
        <v>125</v>
      </c>
      <c r="M41" s="2">
        <v>0</v>
      </c>
      <c r="N41" s="2">
        <v>1.23</v>
      </c>
      <c r="O41" s="2">
        <v>150</v>
      </c>
      <c r="P41" s="10" t="s">
        <v>187</v>
      </c>
    </row>
    <row r="43" spans="1:16" x14ac:dyDescent="0.25">
      <c r="I43" s="1"/>
      <c r="J43" s="1"/>
      <c r="K43" s="1"/>
      <c r="L43" s="1"/>
    </row>
    <row r="44" spans="1:16" x14ac:dyDescent="0.25">
      <c r="I44" s="1"/>
      <c r="J44" s="1"/>
      <c r="K44" s="1"/>
      <c r="L44" s="1"/>
    </row>
    <row r="51" spans="2:14" x14ac:dyDescent="0.25">
      <c r="B51" s="1"/>
      <c r="C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6"/>
    </row>
    <row r="93" spans="2:14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6"/>
    </row>
    <row r="94" spans="2:14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6"/>
    </row>
    <row r="95" spans="2:1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6"/>
    </row>
    <row r="96" spans="2:1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6"/>
    </row>
    <row r="107" spans="2:14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"/>
    </row>
    <row r="108" spans="2:1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6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</sheetData>
  <sortState xmlns:xlrd2="http://schemas.microsoft.com/office/spreadsheetml/2017/richdata2" ref="A3:O43">
    <sortCondition ref="O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C5:Q47"/>
  <sheetViews>
    <sheetView workbookViewId="0">
      <selection activeCell="C6" sqref="C6:D10"/>
    </sheetView>
  </sheetViews>
  <sheetFormatPr defaultRowHeight="15" x14ac:dyDescent="0.25"/>
  <cols>
    <col min="4" max="4" width="16.7109375" customWidth="1"/>
  </cols>
  <sheetData>
    <row r="5" spans="3:17" x14ac:dyDescent="0.25">
      <c r="C5" t="s">
        <v>227</v>
      </c>
    </row>
    <row r="6" spans="3:17" x14ac:dyDescent="0.25">
      <c r="C6" s="3" t="s">
        <v>116</v>
      </c>
      <c r="D6" t="s">
        <v>228</v>
      </c>
    </row>
    <row r="7" spans="3:17" x14ac:dyDescent="0.25">
      <c r="C7" s="3" t="s">
        <v>115</v>
      </c>
      <c r="D7" t="s">
        <v>229</v>
      </c>
    </row>
    <row r="8" spans="3:17" x14ac:dyDescent="0.25">
      <c r="C8" s="5" t="s">
        <v>125</v>
      </c>
      <c r="D8" t="s">
        <v>230</v>
      </c>
      <c r="N8" s="1"/>
      <c r="O8" s="3"/>
      <c r="P8" s="3"/>
      <c r="Q8" s="1"/>
    </row>
    <row r="9" spans="3:17" x14ac:dyDescent="0.25">
      <c r="C9" s="5" t="s">
        <v>134</v>
      </c>
      <c r="D9" t="s">
        <v>231</v>
      </c>
      <c r="N9" s="3"/>
      <c r="O9" s="3"/>
      <c r="P9" s="3"/>
      <c r="Q9" s="3"/>
    </row>
    <row r="10" spans="3:17" x14ac:dyDescent="0.25">
      <c r="C10" s="5" t="s">
        <v>151</v>
      </c>
      <c r="D10" t="s">
        <v>232</v>
      </c>
      <c r="N10" s="3"/>
      <c r="O10" s="3"/>
      <c r="P10" s="3"/>
      <c r="Q10" s="3"/>
    </row>
    <row r="11" spans="3:17" x14ac:dyDescent="0.25">
      <c r="N11" s="3"/>
      <c r="O11" s="3"/>
      <c r="P11" s="3"/>
      <c r="Q11" s="3"/>
    </row>
    <row r="12" spans="3:17" x14ac:dyDescent="0.25">
      <c r="N12" s="3"/>
      <c r="O12" s="3"/>
      <c r="P12" s="3"/>
      <c r="Q12" s="3"/>
    </row>
    <row r="13" spans="3:17" x14ac:dyDescent="0.25">
      <c r="N13" s="3"/>
      <c r="O13" s="3"/>
      <c r="P13" s="3"/>
      <c r="Q13" s="3"/>
    </row>
    <row r="14" spans="3:17" x14ac:dyDescent="0.25">
      <c r="N14" s="3"/>
      <c r="O14" s="3"/>
      <c r="P14" s="3"/>
      <c r="Q14" s="3"/>
    </row>
    <row r="15" spans="3:17" x14ac:dyDescent="0.25">
      <c r="N15" s="3"/>
      <c r="O15" s="3"/>
      <c r="P15" s="3"/>
      <c r="Q15" s="3"/>
    </row>
    <row r="16" spans="3:17" x14ac:dyDescent="0.25">
      <c r="N16" s="3"/>
      <c r="O16" s="3"/>
      <c r="P16" s="3"/>
      <c r="Q16" s="3"/>
    </row>
    <row r="17" spans="14:17" x14ac:dyDescent="0.25">
      <c r="N17" s="3"/>
      <c r="O17" s="3"/>
      <c r="P17" s="3"/>
      <c r="Q17" s="3"/>
    </row>
    <row r="18" spans="14:17" x14ac:dyDescent="0.25">
      <c r="N18" s="3"/>
      <c r="O18" s="3"/>
      <c r="P18" s="3"/>
      <c r="Q18" s="3"/>
    </row>
    <row r="19" spans="14:17" x14ac:dyDescent="0.25">
      <c r="N19" s="3"/>
      <c r="O19" s="3"/>
      <c r="P19" s="3"/>
      <c r="Q19" s="3"/>
    </row>
    <row r="20" spans="14:17" x14ac:dyDescent="0.25">
      <c r="N20" s="3"/>
      <c r="O20" s="3"/>
      <c r="P20" s="3"/>
      <c r="Q20" s="3"/>
    </row>
    <row r="21" spans="14:17" x14ac:dyDescent="0.25">
      <c r="N21" s="3"/>
      <c r="O21" s="3"/>
      <c r="P21" s="3"/>
      <c r="Q21" s="3"/>
    </row>
    <row r="22" spans="14:17" x14ac:dyDescent="0.25">
      <c r="N22" s="3"/>
      <c r="O22" s="3"/>
      <c r="P22" s="3"/>
      <c r="Q22" s="3"/>
    </row>
    <row r="23" spans="14:17" x14ac:dyDescent="0.25">
      <c r="N23" s="3"/>
      <c r="O23" s="3"/>
      <c r="P23" s="3"/>
      <c r="Q23" s="3"/>
    </row>
    <row r="24" spans="14:17" x14ac:dyDescent="0.25">
      <c r="N24" s="1"/>
      <c r="O24" s="3"/>
      <c r="P24" s="1"/>
      <c r="Q24" s="3"/>
    </row>
    <row r="25" spans="14:17" x14ac:dyDescent="0.25">
      <c r="N25" s="3"/>
      <c r="O25" s="3"/>
      <c r="P25" s="3"/>
      <c r="Q25" s="3"/>
    </row>
    <row r="26" spans="14:17" x14ac:dyDescent="0.25">
      <c r="N26" s="3"/>
      <c r="O26" s="3"/>
      <c r="P26" s="3"/>
      <c r="Q26" s="3"/>
    </row>
    <row r="27" spans="14:17" x14ac:dyDescent="0.25">
      <c r="N27" s="3"/>
      <c r="O27" s="3"/>
      <c r="P27" s="3"/>
      <c r="Q27" s="3"/>
    </row>
    <row r="28" spans="14:17" x14ac:dyDescent="0.25">
      <c r="N28" s="3"/>
      <c r="O28" s="3"/>
      <c r="P28" s="3"/>
      <c r="Q28" s="3"/>
    </row>
    <row r="29" spans="14:17" x14ac:dyDescent="0.25">
      <c r="N29" s="3"/>
      <c r="O29" s="3"/>
      <c r="P29" s="3"/>
      <c r="Q29" s="3"/>
    </row>
    <row r="30" spans="14:17" x14ac:dyDescent="0.25">
      <c r="N30" s="3"/>
      <c r="O30" s="3"/>
      <c r="P30" s="3"/>
      <c r="Q30" s="3"/>
    </row>
    <row r="31" spans="14:17" x14ac:dyDescent="0.25">
      <c r="N31" s="3"/>
      <c r="O31" s="3"/>
      <c r="P31" s="3"/>
      <c r="Q31" s="3"/>
    </row>
    <row r="32" spans="14:17" x14ac:dyDescent="0.25">
      <c r="N32" s="3"/>
      <c r="O32" s="3"/>
      <c r="P32" s="3"/>
      <c r="Q32" s="3"/>
    </row>
    <row r="33" spans="14:17" x14ac:dyDescent="0.25">
      <c r="N33" s="3"/>
      <c r="O33" s="3"/>
      <c r="P33" s="3"/>
      <c r="Q33" s="3"/>
    </row>
    <row r="34" spans="14:17" x14ac:dyDescent="0.25">
      <c r="N34" s="3"/>
      <c r="O34" s="3"/>
      <c r="P34" s="3"/>
      <c r="Q34" s="3"/>
    </row>
    <row r="35" spans="14:17" x14ac:dyDescent="0.25">
      <c r="N35" s="3"/>
      <c r="O35" s="3"/>
      <c r="P35" s="3"/>
      <c r="Q35" s="3"/>
    </row>
    <row r="36" spans="14:17" x14ac:dyDescent="0.25">
      <c r="N36" s="3"/>
      <c r="O36" s="3"/>
      <c r="P36" s="3"/>
      <c r="Q36" s="3"/>
    </row>
    <row r="37" spans="14:17" x14ac:dyDescent="0.25">
      <c r="N37" s="3"/>
      <c r="O37" s="3"/>
      <c r="P37" s="3"/>
      <c r="Q37" s="3"/>
    </row>
    <row r="38" spans="14:17" x14ac:dyDescent="0.25">
      <c r="N38" s="3"/>
      <c r="O38" s="3"/>
      <c r="P38" s="3"/>
      <c r="Q38" s="3"/>
    </row>
    <row r="39" spans="14:17" x14ac:dyDescent="0.25">
      <c r="N39" s="3"/>
      <c r="O39" s="3"/>
      <c r="P39" s="3"/>
      <c r="Q39" s="3"/>
    </row>
    <row r="40" spans="14:17" x14ac:dyDescent="0.25">
      <c r="N40" s="3"/>
      <c r="O40" s="1"/>
      <c r="P40" s="3"/>
      <c r="Q40" s="3"/>
    </row>
    <row r="41" spans="14:17" x14ac:dyDescent="0.25">
      <c r="N41" s="3"/>
      <c r="O41" s="3"/>
      <c r="P41" s="3"/>
      <c r="Q41" s="3"/>
    </row>
    <row r="42" spans="14:17" x14ac:dyDescent="0.25">
      <c r="N42" s="3"/>
      <c r="O42" s="3"/>
      <c r="P42" s="3"/>
      <c r="Q42" s="3"/>
    </row>
    <row r="43" spans="14:17" x14ac:dyDescent="0.25">
      <c r="N43" s="3"/>
      <c r="O43" s="3"/>
      <c r="P43" s="3"/>
      <c r="Q43" s="3"/>
    </row>
    <row r="44" spans="14:17" x14ac:dyDescent="0.25">
      <c r="N44" s="3"/>
      <c r="O44" s="3"/>
      <c r="P44" s="3"/>
      <c r="Q44" s="3"/>
    </row>
    <row r="45" spans="14:17" x14ac:dyDescent="0.25">
      <c r="N45" s="3"/>
      <c r="O45" s="3"/>
      <c r="P45" s="3"/>
      <c r="Q45" s="3"/>
    </row>
    <row r="46" spans="14:17" x14ac:dyDescent="0.25">
      <c r="N46" s="3"/>
      <c r="O46" s="3"/>
      <c r="P46" s="3"/>
      <c r="Q46" s="3"/>
    </row>
    <row r="47" spans="14:17" x14ac:dyDescent="0.25">
      <c r="N47" s="3"/>
      <c r="O47" s="3"/>
      <c r="P47" s="3"/>
      <c r="Q4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65</vt:i4>
      </vt:variant>
    </vt:vector>
  </HeadingPairs>
  <TitlesOfParts>
    <vt:vector size="69" baseType="lpstr">
      <vt:lpstr>Calculator</vt:lpstr>
      <vt:lpstr>Kammar</vt:lpstr>
      <vt:lpstr>Drivare</vt:lpstr>
      <vt:lpstr>Slangar</vt:lpstr>
      <vt:lpstr>Activating_Force</vt:lpstr>
      <vt:lpstr>BuiltInAccumulator</vt:lpstr>
      <vt:lpstr>CamDescription</vt:lpstr>
      <vt:lpstr>CamGasFillingPressure</vt:lpstr>
      <vt:lpstr>CamHoseDimension</vt:lpstr>
      <vt:lpstr>CamMaxForce</vt:lpstr>
      <vt:lpstr>CamMaxGasPressure</vt:lpstr>
      <vt:lpstr>CamMinGasPressure</vt:lpstr>
      <vt:lpstr>CamOilPort</vt:lpstr>
      <vt:lpstr>CamReturnForce</vt:lpstr>
      <vt:lpstr>CamSpeed</vt:lpstr>
      <vt:lpstr>FlangeMount</vt:lpstr>
      <vt:lpstr>FootMount</vt:lpstr>
      <vt:lpstr>HCP0_2Hose</vt:lpstr>
      <vt:lpstr>HCP0_4Hose</vt:lpstr>
      <vt:lpstr>HCP0_6Hose</vt:lpstr>
      <vt:lpstr>HCP0_8Hose</vt:lpstr>
      <vt:lpstr>HCPAccumulatorPressure</vt:lpstr>
      <vt:lpstr>HCPDescription</vt:lpstr>
      <vt:lpstr>HCPHoseDimension</vt:lpstr>
      <vt:lpstr>HCPMatrix</vt:lpstr>
      <vt:lpstr>HCPMaxForce</vt:lpstr>
      <vt:lpstr>HCPMaxGasPressure</vt:lpstr>
      <vt:lpstr>HCPMaxStroke</vt:lpstr>
      <vt:lpstr>HCPMinGasPressure</vt:lpstr>
      <vt:lpstr>HCPOilPort</vt:lpstr>
      <vt:lpstr>HCPPistonArea</vt:lpstr>
      <vt:lpstr>HCPStroke</vt:lpstr>
      <vt:lpstr>HCPType</vt:lpstr>
      <vt:lpstr>Hoses</vt:lpstr>
      <vt:lpstr>Index_ListBox1</vt:lpstr>
      <vt:lpstr>Index_ListBox11</vt:lpstr>
      <vt:lpstr>Index_ListBox2</vt:lpstr>
      <vt:lpstr>Index_ListBoxMounting</vt:lpstr>
      <vt:lpstr>Index_ListBoxOption</vt:lpstr>
      <vt:lpstr>LockValue</vt:lpstr>
      <vt:lpstr>Max_Volume</vt:lpstr>
      <vt:lpstr>Mounting_list_ref</vt:lpstr>
      <vt:lpstr>NewStroke</vt:lpstr>
      <vt:lpstr>NormalCamPressure</vt:lpstr>
      <vt:lpstr>NumberOfCams</vt:lpstr>
      <vt:lpstr>OilVolumeUsed</vt:lpstr>
      <vt:lpstr>PistonArea</vt:lpstr>
      <vt:lpstr>Power_Unit__Type</vt:lpstr>
      <vt:lpstr>Product_Type</vt:lpstr>
      <vt:lpstr>ProximitySensor</vt:lpstr>
      <vt:lpstr>RecomendedHCP</vt:lpstr>
      <vt:lpstr>ScrewMount</vt:lpstr>
      <vt:lpstr>SensorNr</vt:lpstr>
      <vt:lpstr>Slutval</vt:lpstr>
      <vt:lpstr>SpeedRatio</vt:lpstr>
      <vt:lpstr>SPMLimit</vt:lpstr>
      <vt:lpstr>Stroke</vt:lpstr>
      <vt:lpstr>Supplied_Oil_Volume</vt:lpstr>
      <vt:lpstr>Supplied_Oil_Volume_Max</vt:lpstr>
      <vt:lpstr>TopMount</vt:lpstr>
      <vt:lpstr>Calculator!Urval</vt:lpstr>
      <vt:lpstr>Usable_Oil_Volume</vt:lpstr>
      <vt:lpstr>UsedStroke</vt:lpstr>
      <vt:lpstr>UserCamForce</vt:lpstr>
      <vt:lpstr>UserHCPSpeed</vt:lpstr>
      <vt:lpstr>UserReturnForce</vt:lpstr>
      <vt:lpstr>Calculator!Utskriftsområde</vt:lpstr>
      <vt:lpstr>Variant</vt:lpstr>
      <vt:lpstr>Calculator!Villkor</vt:lpstr>
    </vt:vector>
  </TitlesOfParts>
  <Company>Strömsholmen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Cronholm, Marcus</dc:creator>
  <cp:lastModifiedBy>Marcus, Cronholm</cp:lastModifiedBy>
  <cp:lastPrinted>2018-08-01T11:58:12Z</cp:lastPrinted>
  <dcterms:created xsi:type="dcterms:W3CDTF">2018-07-11T08:05:36Z</dcterms:created>
  <dcterms:modified xsi:type="dcterms:W3CDTF">2021-08-10T14:16:33Z</dcterms:modified>
</cp:coreProperties>
</file>